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6.xml" ContentType="application/vnd.openxmlformats-officedocument.drawing+xml"/>
  <Override PartName="/xl/worksheets/sheet3.xml" ContentType="application/vnd.openxmlformats-officedocument.spreadsheetml.worksheet+xml"/>
  <Override PartName="/xl/drawings/drawing9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655" windowHeight="4560" activeTab="2"/>
  </bookViews>
  <sheets>
    <sheet name="Discharge Calculator" sheetId="1" r:id="rId1"/>
    <sheet name="Radiated Calculator" sheetId="2" r:id="rId2"/>
    <sheet name="Room Sound Calculator" sheetId="3" r:id="rId3"/>
    <sheet name="DbA Calc" sheetId="4" r:id="rId4"/>
    <sheet name="Constants" sheetId="5" r:id="rId5"/>
    <sheet name="NC_Source" sheetId="6" r:id="rId6"/>
  </sheets>
  <definedNames>
    <definedName name="_xlnm.Print_Area" localSheetId="0">'Discharge Calculator'!$A$1:$O$45</definedName>
    <definedName name="_xlnm.Print_Area" localSheetId="1">'Radiated Calculator'!$A$1:$P$47</definedName>
    <definedName name="_xlnm.Print_Area" localSheetId="2">'Room Sound Calculator'!$A$1:$P$49</definedName>
  </definedNames>
  <calcPr fullCalcOnLoad="1"/>
</workbook>
</file>

<file path=xl/sharedStrings.xml><?xml version="1.0" encoding="utf-8"?>
<sst xmlns="http://schemas.openxmlformats.org/spreadsheetml/2006/main" count="318" uniqueCount="233">
  <si>
    <t>Number of Elbows</t>
  </si>
  <si>
    <t>Type</t>
  </si>
  <si>
    <t>Number of Tees</t>
  </si>
  <si>
    <t>Number of Zones fed</t>
  </si>
  <si>
    <t>End Reflection</t>
  </si>
  <si>
    <t>Duct Width, in.</t>
  </si>
  <si>
    <t>Flex Length, ft.</t>
  </si>
  <si>
    <t>Diameter, in.</t>
  </si>
  <si>
    <t>Room Volume, CuFt</t>
  </si>
  <si>
    <t>Distance, ft.</t>
  </si>
  <si>
    <t>Duct Height, in.</t>
  </si>
  <si>
    <t>Octave Band</t>
  </si>
  <si>
    <t>Mid Frequency, Hz</t>
  </si>
  <si>
    <t>Input Pwl</t>
  </si>
  <si>
    <t>Lining Reduction</t>
  </si>
  <si>
    <t>Elbow reduction</t>
  </si>
  <si>
    <t>Tee Reduction</t>
  </si>
  <si>
    <t>Power splits</t>
  </si>
  <si>
    <t>Flex Duct Reduction</t>
  </si>
  <si>
    <t>Room Attenuation</t>
  </si>
  <si>
    <t>Output Spl</t>
  </si>
  <si>
    <t>Other (Custom)</t>
  </si>
  <si>
    <t>Output NC</t>
  </si>
  <si>
    <t>ARI 885-90</t>
  </si>
  <si>
    <t>NC Drivers</t>
  </si>
  <si>
    <t>Application Reductions</t>
  </si>
  <si>
    <t>Intcpt</t>
  </si>
  <si>
    <t>M1</t>
  </si>
  <si>
    <t>NC= M1*Band Spl+ Intcpt</t>
  </si>
  <si>
    <t>Band Constants</t>
  </si>
  <si>
    <t>Equation</t>
  </si>
  <si>
    <t>Environmental Adjustment Factor</t>
  </si>
  <si>
    <t>Constants</t>
  </si>
  <si>
    <t>Constant</t>
  </si>
  <si>
    <t>C1</t>
  </si>
  <si>
    <t>C2</t>
  </si>
  <si>
    <t>C3</t>
  </si>
  <si>
    <t>dB/ft = 10^C1 * p/a^C2 * t^C3</t>
  </si>
  <si>
    <t>where :</t>
  </si>
  <si>
    <t xml:space="preserve">     p/a = 2*(Width+Height)/(Width*Height)*12, in inches</t>
  </si>
  <si>
    <t xml:space="preserve">     t     = lining thickness, in.</t>
  </si>
  <si>
    <t>Lined Duct</t>
  </si>
  <si>
    <t>C4</t>
  </si>
  <si>
    <t>C5</t>
  </si>
  <si>
    <t>C6</t>
  </si>
  <si>
    <t>Flex Duct</t>
  </si>
  <si>
    <t xml:space="preserve">IL, by Band  =  (C1+C2*Dia+C3*Dia^2) + ((C4+C5*Dia+C6*Dia^2)*Length) </t>
  </si>
  <si>
    <t>Diameter in inches, Length in feet</t>
  </si>
  <si>
    <t>Elbow Type</t>
  </si>
  <si>
    <t>3, Unlined Rectangular</t>
  </si>
  <si>
    <t>4, Unlined Round</t>
  </si>
  <si>
    <t>1, Lined Rectangular</t>
  </si>
  <si>
    <t>2, Lined rect, Turning Vanes</t>
  </si>
  <si>
    <t>Tees, 11-20 " Wide</t>
  </si>
  <si>
    <t>Same as above, plus 3db for I split</t>
  </si>
  <si>
    <t>Comments</t>
  </si>
  <si>
    <t>From Tables</t>
  </si>
  <si>
    <t>10 log N</t>
  </si>
  <si>
    <t>Calculated</t>
  </si>
  <si>
    <t>User Input</t>
  </si>
  <si>
    <t>Shultz Equation</t>
  </si>
  <si>
    <t>Where F = octave band frequency.</t>
  </si>
  <si>
    <t xml:space="preserve"> </t>
  </si>
  <si>
    <t>Tile Type</t>
  </si>
  <si>
    <t xml:space="preserve">Space Effect, Point Source </t>
  </si>
  <si>
    <t>Log Distance, ft.</t>
  </si>
  <si>
    <t>Log Room Volume, CuFt</t>
  </si>
  <si>
    <t>Log Frequency, Hz</t>
  </si>
  <si>
    <t>p/a</t>
  </si>
  <si>
    <t>Length Lined duct,Ft</t>
  </si>
  <si>
    <t>Lining Thickness, in.</t>
  </si>
  <si>
    <t>Typical Flex duct</t>
  </si>
  <si>
    <t xml:space="preserve">  - 10 * Log(Distance)- 5  * Log(Volume)  - 3  * Log(Freq[I]) +25</t>
  </si>
  <si>
    <t>Total Attenuation</t>
  </si>
  <si>
    <t>Power division</t>
  </si>
  <si>
    <t>dB/ft = 10^C1 * p/a^C2 * t^C3, not to exceed 40db/band</t>
  </si>
  <si>
    <t>Loss</t>
  </si>
  <si>
    <t>fw</t>
  </si>
  <si>
    <t>1.9-3.8</t>
  </si>
  <si>
    <t>3.8-7.5</t>
  </si>
  <si>
    <t>7.5 - 15</t>
  </si>
  <si>
    <t>15-30</t>
  </si>
  <si>
    <t>Type 1</t>
  </si>
  <si>
    <t>&gt;15</t>
  </si>
  <si>
    <t>Type 2</t>
  </si>
  <si>
    <t>&gt;30</t>
  </si>
  <si>
    <t>Type 3</t>
  </si>
  <si>
    <t>Type 4</t>
  </si>
  <si>
    <t>&gt;7.5</t>
  </si>
  <si>
    <t>Excerpted from tables D11,12, ARI 885-98</t>
  </si>
  <si>
    <t>Pi</t>
  </si>
  <si>
    <t>Ceiling/Plenum Effect Attenuation Values, Radiated sound</t>
  </si>
  <si>
    <t>ARI 885-98</t>
  </si>
  <si>
    <t>Room SPL = Sound Power less (10 * Log(Distance) + 5  * Log(Volume)+ 3  * Log(Freq[I]) - 25)</t>
  </si>
  <si>
    <t>Shultz equation</t>
  </si>
  <si>
    <t>ARI 885-98 / Radiated, combined ceiling plenum/space effect</t>
  </si>
  <si>
    <t>Table from ARI standard</t>
  </si>
  <si>
    <t>Input Parameters:</t>
  </si>
  <si>
    <t>Optional User Input</t>
  </si>
  <si>
    <t>Ceiling Type</t>
  </si>
  <si>
    <t>From ARI 885-98, Should always be used</t>
  </si>
  <si>
    <t>Ceiling Plenum / Room Attenuation</t>
  </si>
  <si>
    <t>Standard referenced</t>
  </si>
  <si>
    <t>Using tables below, and freq (in Khz) * Width, the followong tables apply</t>
  </si>
  <si>
    <t>kHz* avg. width</t>
  </si>
  <si>
    <t>Elbows, 11-20 " Wide (use Avg = 15")</t>
  </si>
  <si>
    <t>Hz at 15" width (mean)</t>
  </si>
  <si>
    <t>Hz</t>
  </si>
  <si>
    <t>Basis of table</t>
  </si>
  <si>
    <t>Loss from ARI 885-98</t>
  </si>
  <si>
    <t>Project / Zone:</t>
  </si>
  <si>
    <t>Room Sound  Calculations</t>
  </si>
  <si>
    <t>This page adds the sound from the VAV box in the previous examples</t>
  </si>
  <si>
    <t xml:space="preserve">  to the sound from a selected diffuser</t>
  </si>
  <si>
    <t>Diffuser Sound Power</t>
  </si>
  <si>
    <t># of Diffusers</t>
  </si>
  <si>
    <t>From Radiated Sheet</t>
  </si>
  <si>
    <t>VAV Box Radiated Sound Pressure</t>
  </si>
  <si>
    <t>Diffuser Sound Pressure</t>
  </si>
  <si>
    <t>Log add Diffuser, Dischg and Rad sound pressures. db=10*log((10^(Disch/10)+(10^(Rad/10))+10^(Diff/10)))</t>
  </si>
  <si>
    <t>User input, Sound Power rating, From catalog or software</t>
  </si>
  <si>
    <t>Output RC, Letters</t>
  </si>
  <si>
    <t>Total Room Sound Pressure</t>
  </si>
  <si>
    <t xml:space="preserve">WRITTEN BY: TARSHA L. SIMON            </t>
  </si>
  <si>
    <t>DATE: Jan 17, 1991</t>
  </si>
  <si>
    <t>MODIFIED BY: D Int-Hout, 2/95</t>
  </si>
  <si>
    <t>NCPLOT</t>
  </si>
  <si>
    <t>RC Data</t>
  </si>
  <si>
    <t>NC15</t>
  </si>
  <si>
    <t>NC20</t>
  </si>
  <si>
    <t>NC25</t>
  </si>
  <si>
    <t>NC30</t>
  </si>
  <si>
    <t>NC35</t>
  </si>
  <si>
    <t>NC40</t>
  </si>
  <si>
    <t>NC45</t>
  </si>
  <si>
    <t>NC50</t>
  </si>
  <si>
    <t>NC55</t>
  </si>
  <si>
    <t>NC60</t>
  </si>
  <si>
    <t>NC65</t>
  </si>
  <si>
    <t>HEARING THRESHOLD</t>
  </si>
  <si>
    <t>From Discharge Sheet</t>
  </si>
  <si>
    <t>Room Absorption, from Discharge Sound Sheet</t>
  </si>
  <si>
    <t>Diffuser Sound Power less attenuation factors</t>
  </si>
  <si>
    <t>Calculated NC</t>
  </si>
  <si>
    <t>R?</t>
  </si>
  <si>
    <t>H?</t>
  </si>
  <si>
    <t xml:space="preserve">RC can have an "H" or an "R" designation (Hiss or Rumble). N = Neutral. </t>
  </si>
  <si>
    <t>User input, Sound Power (PWL) rating, from catalog or software</t>
  </si>
  <si>
    <t>Comments:</t>
  </si>
  <si>
    <t>Linear, dBA, and dBC Calculations:</t>
  </si>
  <si>
    <t>June 15, 1995 Version</t>
  </si>
  <si>
    <t>Input O.B. Data Given</t>
  </si>
  <si>
    <t>Data</t>
  </si>
  <si>
    <t>Linear</t>
  </si>
  <si>
    <t>dBA</t>
  </si>
  <si>
    <t>dBC</t>
  </si>
  <si>
    <t>No.</t>
  </si>
  <si>
    <t>Under Linear Column</t>
  </si>
  <si>
    <t>Freq., Hz.</t>
  </si>
  <si>
    <t>Input</t>
  </si>
  <si>
    <t>Calc.</t>
  </si>
  <si>
    <t>-</t>
  </si>
  <si>
    <t>A-wgt</t>
  </si>
  <si>
    <t>C-wgt</t>
  </si>
  <si>
    <t>Overall</t>
  </si>
  <si>
    <t>Value</t>
  </si>
  <si>
    <t>DbA</t>
  </si>
  <si>
    <t>Excluded, DIH 10/15/03</t>
  </si>
  <si>
    <t>DbA based on 125-4000 Hz band data, be sure to consider other low freq. sources</t>
  </si>
  <si>
    <t>VAV Box Discharge Sound Pressure</t>
  </si>
  <si>
    <t>p/a = 2*(Width+Height)/(Width*Height)*12, in inches</t>
  </si>
  <si>
    <t>Should always be used</t>
  </si>
  <si>
    <t>From Tables,</t>
  </si>
  <si>
    <t>Output RC</t>
  </si>
  <si>
    <t>Project</t>
  </si>
  <si>
    <t>From Discharge sheet</t>
  </si>
  <si>
    <t>Copied from Discharge Tab</t>
  </si>
  <si>
    <t>Input this from diffuser manufacturer raw (uncorrected) sound power data</t>
  </si>
  <si>
    <t>From ARI 885-98</t>
  </si>
  <si>
    <t>Resultant room sound pressure from diffuser(s)</t>
  </si>
  <si>
    <t>Log sum of Discharge, Radiated and diffuser sound pressure levels.</t>
  </si>
  <si>
    <t>Zone ID</t>
  </si>
  <si>
    <t xml:space="preserve">Predicted Discharge NC </t>
  </si>
  <si>
    <t>Predicted Discharge RC</t>
  </si>
  <si>
    <t xml:space="preserve">Arithmetic sum of above factors (Note: Data in ARI 885 is rounded, this is not!) </t>
  </si>
  <si>
    <t xml:space="preserve">Predicted  Room DischargeSound Pressure level </t>
  </si>
  <si>
    <t xml:space="preserve">Predicted  Room RadiatedSound Pressure level </t>
  </si>
  <si>
    <t xml:space="preserve">Predicted Radiated NC </t>
  </si>
  <si>
    <t>Predicted Radiated RC</t>
  </si>
  <si>
    <t>Arithmetic Sum of Attenuation factors</t>
  </si>
  <si>
    <t xml:space="preserve">Predicted Room NC </t>
  </si>
  <si>
    <t>Predicted Room RC</t>
  </si>
  <si>
    <t>Predicted Room dBA</t>
  </si>
  <si>
    <t>User defined attenuation</t>
  </si>
  <si>
    <t>Speed of sound , f/second</t>
  </si>
  <si>
    <t>D in inches</t>
  </si>
  <si>
    <r>
      <t>ERL = 10*Log(1+(a</t>
    </r>
    <r>
      <rPr>
        <vertAlign val="sub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*c</t>
    </r>
    <r>
      <rPr>
        <vertAlign val="subscript"/>
        <sz val="10"/>
        <color indexed="8"/>
        <rFont val="Arial"/>
        <family val="2"/>
      </rPr>
      <t>0</t>
    </r>
    <r>
      <rPr>
        <sz val="10"/>
        <color indexed="8"/>
        <rFont val="Arial"/>
        <family val="2"/>
      </rPr>
      <t>/Pi*f*(D/12))^a</t>
    </r>
    <r>
      <rPr>
        <vertAlign val="sub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)</t>
    </r>
  </si>
  <si>
    <r>
      <t>a</t>
    </r>
    <r>
      <rPr>
        <vertAlign val="subscript"/>
        <sz val="12"/>
        <rFont val="Arial"/>
        <family val="2"/>
      </rPr>
      <t>1</t>
    </r>
  </si>
  <si>
    <r>
      <t>a</t>
    </r>
    <r>
      <rPr>
        <vertAlign val="subscript"/>
        <sz val="12"/>
        <rFont val="Arial"/>
        <family val="2"/>
      </rPr>
      <t>2</t>
    </r>
  </si>
  <si>
    <r>
      <t>C</t>
    </r>
    <r>
      <rPr>
        <vertAlign val="subscript"/>
        <sz val="10"/>
        <rFont val="Arial"/>
        <family val="2"/>
      </rPr>
      <t>0</t>
    </r>
  </si>
  <si>
    <t>ARI 885-08</t>
  </si>
  <si>
    <t xml:space="preserve">1, Mineral Fiber </t>
  </si>
  <si>
    <t>2, Mineral Fiber</t>
  </si>
  <si>
    <t>3, Glass Fiber</t>
  </si>
  <si>
    <t>4, Glass Fiber</t>
  </si>
  <si>
    <t>5, Glass Fiber, TL Backed</t>
  </si>
  <si>
    <t>6, Gypsym Board Tiles</t>
  </si>
  <si>
    <t>7, Solid Gypsum Board</t>
  </si>
  <si>
    <t>8, Solid Gypsum Board</t>
  </si>
  <si>
    <t>9, Double Gypsum Board</t>
  </si>
  <si>
    <t>10, Double Gypsum Board</t>
  </si>
  <si>
    <t>11, Concealed Spline</t>
  </si>
  <si>
    <t>Sound Constants - ARI 885-08</t>
  </si>
  <si>
    <t xml:space="preserve">User inputs only in unshaded areas. </t>
  </si>
  <si>
    <t xml:space="preserve">For no ceiling, use discharge calculations </t>
  </si>
  <si>
    <t xml:space="preserve">Copied from Radiated Tab </t>
  </si>
  <si>
    <t xml:space="preserve">End Reflection, Eq Dia., in. </t>
  </si>
  <si>
    <r>
      <t xml:space="preserve"> ERL (From ASHRAE RP 1314)   ERL = 10*Log(1+(a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*c/Pi*f*(D/12))^a</t>
    </r>
    <r>
      <rPr>
        <vertAlign val="subscript"/>
        <sz val="12"/>
        <rFont val="Arial"/>
        <family val="2"/>
      </rPr>
      <t xml:space="preserve">2) </t>
    </r>
  </si>
  <si>
    <r>
      <t>a</t>
    </r>
    <r>
      <rPr>
        <vertAlign val="subscript"/>
        <sz val="12"/>
        <rFont val="Arial"/>
        <family val="2"/>
      </rPr>
      <t>2</t>
    </r>
    <r>
      <rPr>
        <sz val="12"/>
        <rFont val="Arial"/>
        <family val="2"/>
      </rPr>
      <t>, flush - Terminated duct, Pink Noise, full octave, rounded</t>
    </r>
  </si>
  <si>
    <r>
      <t>a</t>
    </r>
    <r>
      <rPr>
        <vertAlign val="subscript"/>
        <sz val="12"/>
        <rFont val="Arial"/>
        <family val="2"/>
      </rPr>
      <t>1</t>
    </r>
    <r>
      <rPr>
        <sz val="12"/>
        <rFont val="Arial"/>
        <family val="2"/>
      </rPr>
      <t>, flush - Terminated duct, Pink Noise, full octave</t>
    </r>
  </si>
  <si>
    <t>Edited 11/19/2008 to make totals the same as the -98 version. DIH</t>
  </si>
  <si>
    <t>Rectangular conversion</t>
  </si>
  <si>
    <t>Height</t>
  </si>
  <si>
    <t>Width</t>
  </si>
  <si>
    <t>Eq. Diam.</t>
  </si>
  <si>
    <t xml:space="preserve">Note: the results agree with Standard 885 within 1 dB and the differences are due to rounding. 
</t>
  </si>
  <si>
    <t xml:space="preserve">Discharge Calculations per AHRI 885-08 </t>
  </si>
  <si>
    <t>Radiated Calculations per AHRI 885-08</t>
  </si>
  <si>
    <t>From AHRI 885-08</t>
  </si>
  <si>
    <t>Output Spl, AHRI 885-08</t>
  </si>
  <si>
    <t xml:space="preserve">From AHRI 885-08, </t>
  </si>
  <si>
    <t>Input number of diffuser near observer (within 15 ft.) *</t>
  </si>
  <si>
    <t>This does not use the Ceiling Array equation from the ASHRAE Applications Handbook.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</si>
</sst>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0.000"/>
    <numFmt numFmtId="166" formatCode="General_)"/>
    <numFmt numFmtId="167" formatCode="0.00000"/>
    <numFmt numFmtId="168" formatCode="0.0000"/>
    <numFmt numFmtId="169" formatCode="0.0"/>
    <numFmt numFmtId="170" formatCode="0.000000"/>
    <numFmt numFmtId="171" formatCode="0.0000000"/>
    <numFmt numFmtId="172" formatCode="0.0000000000"/>
    <numFmt numFmtId="173" formatCode="0.00000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23">
    <font>
      <sz val="10"/>
      <name val="Arial"/>
      <family val="0"/>
    </font>
    <font>
      <sz val="12"/>
      <color indexed="8"/>
      <name val="Times New Roman"/>
      <family val="0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8"/>
      <name val="Arial"/>
      <family val="0"/>
    </font>
    <font>
      <sz val="7.5"/>
      <name val="Arial"/>
      <family val="2"/>
    </font>
    <font>
      <sz val="7"/>
      <name val="Arial"/>
      <family val="2"/>
    </font>
    <font>
      <sz val="6.75"/>
      <name val="Arial"/>
      <family val="2"/>
    </font>
    <font>
      <b/>
      <u val="single"/>
      <sz val="10"/>
      <name val="Arial"/>
      <family val="0"/>
    </font>
    <font>
      <u val="single"/>
      <sz val="10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  <font>
      <vertAlign val="subscript"/>
      <sz val="12"/>
      <name val="Arial"/>
      <family val="2"/>
    </font>
    <font>
      <vertAlign val="subscript"/>
      <sz val="10"/>
      <color indexed="8"/>
      <name val="Arial"/>
      <family val="2"/>
    </font>
    <font>
      <vertAlign val="subscript"/>
      <sz val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 horizontal="center"/>
    </xf>
    <xf numFmtId="0" fontId="1" fillId="0" borderId="0" xfId="0" applyFont="1" applyAlignment="1">
      <alignment/>
    </xf>
    <xf numFmtId="0" fontId="2" fillId="0" borderId="15" xfId="21" applyFont="1" applyBorder="1">
      <alignment/>
      <protection/>
    </xf>
    <xf numFmtId="0" fontId="2" fillId="0" borderId="16" xfId="21" applyFont="1" applyBorder="1">
      <alignment/>
      <protection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3" borderId="0" xfId="0" applyFill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2" borderId="17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/>
    </xf>
    <xf numFmtId="0" fontId="8" fillId="0" borderId="1" xfId="0" applyFont="1" applyBorder="1" applyAlignment="1">
      <alignment/>
    </xf>
    <xf numFmtId="0" fontId="9" fillId="0" borderId="5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4" borderId="13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4" borderId="20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 horizontal="center"/>
    </xf>
    <xf numFmtId="1" fontId="6" fillId="0" borderId="2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" fontId="6" fillId="0" borderId="12" xfId="0" applyNumberFormat="1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" fontId="0" fillId="2" borderId="23" xfId="0" applyNumberFormat="1" applyFill="1" applyBorder="1" applyAlignment="1">
      <alignment horizontal="center"/>
    </xf>
    <xf numFmtId="1" fontId="0" fillId="2" borderId="14" xfId="0" applyNumberFormat="1" applyFill="1" applyBorder="1" applyAlignment="1">
      <alignment horizontal="center"/>
    </xf>
    <xf numFmtId="1" fontId="0" fillId="2" borderId="20" xfId="0" applyNumberFormat="1" applyFill="1" applyBorder="1" applyAlignment="1">
      <alignment horizontal="center"/>
    </xf>
    <xf numFmtId="0" fontId="0" fillId="2" borderId="24" xfId="0" applyFill="1" applyBorder="1" applyAlignment="1">
      <alignment/>
    </xf>
    <xf numFmtId="0" fontId="0" fillId="2" borderId="19" xfId="0" applyFill="1" applyBorder="1" applyAlignment="1">
      <alignment/>
    </xf>
    <xf numFmtId="0" fontId="5" fillId="2" borderId="2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 quotePrefix="1">
      <alignment horizontal="left"/>
    </xf>
    <xf numFmtId="1" fontId="0" fillId="2" borderId="25" xfId="0" applyNumberFormat="1" applyFont="1" applyFill="1" applyBorder="1" applyAlignment="1">
      <alignment horizontal="center"/>
    </xf>
    <xf numFmtId="1" fontId="0" fillId="2" borderId="11" xfId="0" applyNumberFormat="1" applyFont="1" applyFill="1" applyBorder="1" applyAlignment="1">
      <alignment horizontal="center"/>
    </xf>
    <xf numFmtId="1" fontId="0" fillId="2" borderId="12" xfId="0" applyNumberFormat="1" applyFont="1" applyFill="1" applyBorder="1" applyAlignment="1">
      <alignment horizontal="center"/>
    </xf>
    <xf numFmtId="0" fontId="0" fillId="2" borderId="17" xfId="0" applyFill="1" applyBorder="1" applyAlignment="1">
      <alignment/>
    </xf>
    <xf numFmtId="1" fontId="0" fillId="2" borderId="26" xfId="0" applyNumberFormat="1" applyFont="1" applyFill="1" applyBorder="1" applyAlignment="1">
      <alignment horizontal="center"/>
    </xf>
    <xf numFmtId="1" fontId="0" fillId="2" borderId="27" xfId="0" applyNumberFormat="1" applyFont="1" applyFill="1" applyBorder="1" applyAlignment="1">
      <alignment horizontal="center"/>
    </xf>
    <xf numFmtId="1" fontId="0" fillId="2" borderId="28" xfId="0" applyNumberFormat="1" applyFont="1" applyFill="1" applyBorder="1" applyAlignment="1">
      <alignment horizontal="center"/>
    </xf>
    <xf numFmtId="0" fontId="6" fillId="0" borderId="0" xfId="0" applyFont="1" applyAlignment="1" quotePrefix="1">
      <alignment horizontal="left"/>
    </xf>
    <xf numFmtId="0" fontId="6" fillId="0" borderId="9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2" fillId="0" borderId="0" xfId="0" applyFont="1" applyAlignment="1">
      <alignment/>
    </xf>
    <xf numFmtId="0" fontId="10" fillId="0" borderId="1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31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0" fillId="0" borderId="19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33" xfId="0" applyFont="1" applyBorder="1" applyAlignment="1">
      <alignment horizontal="right"/>
    </xf>
    <xf numFmtId="2" fontId="0" fillId="0" borderId="26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2" fontId="0" fillId="0" borderId="28" xfId="0" applyNumberFormat="1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 horizontal="centerContinuous"/>
    </xf>
    <xf numFmtId="1" fontId="2" fillId="0" borderId="5" xfId="0" applyNumberFormat="1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38" xfId="0" applyFont="1" applyBorder="1" applyAlignment="1">
      <alignment/>
    </xf>
    <xf numFmtId="1" fontId="6" fillId="0" borderId="39" xfId="0" applyNumberFormat="1" applyFont="1" applyBorder="1" applyAlignment="1">
      <alignment horizontal="center"/>
    </xf>
    <xf numFmtId="1" fontId="6" fillId="0" borderId="40" xfId="0" applyNumberFormat="1" applyFont="1" applyBorder="1" applyAlignment="1">
      <alignment horizontal="center"/>
    </xf>
    <xf numFmtId="1" fontId="6" fillId="0" borderId="41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1" fontId="6" fillId="0" borderId="23" xfId="0" applyNumberFormat="1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" fontId="6" fillId="0" borderId="25" xfId="0" applyNumberFormat="1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35" xfId="0" applyFont="1" applyBorder="1" applyAlignment="1">
      <alignment/>
    </xf>
    <xf numFmtId="14" fontId="9" fillId="0" borderId="0" xfId="0" applyNumberFormat="1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1" xfId="0" applyFont="1" applyBorder="1" applyAlignment="1">
      <alignment horizontal="left"/>
    </xf>
    <xf numFmtId="0" fontId="10" fillId="0" borderId="6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5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43" xfId="0" applyFont="1" applyBorder="1" applyAlignment="1">
      <alignment horizontal="right"/>
    </xf>
    <xf numFmtId="0" fontId="2" fillId="0" borderId="44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0" fillId="2" borderId="36" xfId="0" applyFont="1" applyFill="1" applyBorder="1" applyAlignment="1">
      <alignment horizontal="right"/>
    </xf>
    <xf numFmtId="0" fontId="0" fillId="2" borderId="4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6" fillId="3" borderId="34" xfId="0" applyFont="1" applyFill="1" applyBorder="1" applyAlignment="1">
      <alignment/>
    </xf>
    <xf numFmtId="0" fontId="6" fillId="3" borderId="0" xfId="0" applyFont="1" applyFill="1" applyBorder="1" applyAlignment="1">
      <alignment horizontal="center"/>
    </xf>
    <xf numFmtId="14" fontId="9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/>
    </xf>
    <xf numFmtId="0" fontId="3" fillId="2" borderId="6" xfId="0" applyFont="1" applyFill="1" applyBorder="1" applyAlignment="1">
      <alignment/>
    </xf>
    <xf numFmtId="0" fontId="0" fillId="2" borderId="33" xfId="0" applyFill="1" applyBorder="1" applyAlignment="1">
      <alignment/>
    </xf>
    <xf numFmtId="0" fontId="0" fillId="0" borderId="42" xfId="0" applyFont="1" applyBorder="1" applyAlignment="1">
      <alignment/>
    </xf>
    <xf numFmtId="0" fontId="8" fillId="0" borderId="36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1" fontId="0" fillId="0" borderId="37" xfId="0" applyNumberFormat="1" applyFont="1" applyBorder="1" applyAlignment="1">
      <alignment horizontal="center"/>
    </xf>
    <xf numFmtId="169" fontId="0" fillId="0" borderId="29" xfId="0" applyNumberFormat="1" applyFont="1" applyBorder="1" applyAlignment="1">
      <alignment horizontal="center"/>
    </xf>
    <xf numFmtId="1" fontId="0" fillId="0" borderId="29" xfId="0" applyNumberFormat="1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2" borderId="13" xfId="0" applyFont="1" applyFill="1" applyBorder="1" applyAlignment="1">
      <alignment/>
    </xf>
    <xf numFmtId="1" fontId="0" fillId="2" borderId="1" xfId="0" applyNumberFormat="1" applyFill="1" applyBorder="1" applyAlignment="1">
      <alignment horizontal="left"/>
    </xf>
    <xf numFmtId="1" fontId="0" fillId="2" borderId="35" xfId="0" applyNumberFormat="1" applyFill="1" applyBorder="1" applyAlignment="1">
      <alignment horizontal="left"/>
    </xf>
    <xf numFmtId="1" fontId="0" fillId="2" borderId="6" xfId="0" applyNumberFormat="1" applyFill="1" applyBorder="1" applyAlignment="1">
      <alignment horizontal="left"/>
    </xf>
    <xf numFmtId="0" fontId="0" fillId="3" borderId="39" xfId="0" applyFill="1" applyBorder="1" applyAlignment="1" applyProtection="1">
      <alignment horizontal="center"/>
      <protection locked="0"/>
    </xf>
    <xf numFmtId="0" fontId="0" fillId="3" borderId="40" xfId="0" applyFill="1" applyBorder="1" applyAlignment="1" applyProtection="1">
      <alignment horizontal="center"/>
      <protection locked="0"/>
    </xf>
    <xf numFmtId="0" fontId="0" fillId="3" borderId="14" xfId="0" applyFont="1" applyFill="1" applyBorder="1" applyAlignment="1" applyProtection="1">
      <alignment horizontal="center"/>
      <protection locked="0"/>
    </xf>
    <xf numFmtId="0" fontId="0" fillId="3" borderId="28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/>
      <protection locked="0"/>
    </xf>
    <xf numFmtId="0" fontId="0" fillId="3" borderId="23" xfId="0" applyFont="1" applyFill="1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1" fontId="0" fillId="3" borderId="41" xfId="0" applyNumberFormat="1" applyFill="1" applyBorder="1" applyAlignment="1" applyProtection="1">
      <alignment horizontal="center"/>
      <protection locked="0"/>
    </xf>
    <xf numFmtId="1" fontId="0" fillId="3" borderId="20" xfId="0" applyNumberFormat="1" applyFont="1" applyFill="1" applyBorder="1" applyAlignment="1" applyProtection="1">
      <alignment horizontal="center"/>
      <protection locked="0"/>
    </xf>
    <xf numFmtId="1" fontId="5" fillId="2" borderId="23" xfId="0" applyNumberFormat="1" applyFont="1" applyFill="1" applyBorder="1" applyAlignment="1">
      <alignment horizontal="center"/>
    </xf>
    <xf numFmtId="1" fontId="0" fillId="3" borderId="9" xfId="0" applyNumberFormat="1" applyFill="1" applyBorder="1" applyAlignment="1" applyProtection="1">
      <alignment horizontal="center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0" fontId="0" fillId="3" borderId="36" xfId="0" applyFill="1" applyBorder="1" applyAlignment="1" applyProtection="1">
      <alignment horizontal="center"/>
      <protection locked="0"/>
    </xf>
    <xf numFmtId="1" fontId="0" fillId="3" borderId="45" xfId="0" applyNumberForma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0" fillId="2" borderId="2" xfId="0" applyFill="1" applyBorder="1" applyAlignment="1" applyProtection="1">
      <alignment horizontal="center"/>
      <protection/>
    </xf>
    <xf numFmtId="0" fontId="0" fillId="2" borderId="8" xfId="0" applyFill="1" applyBorder="1" applyAlignment="1" applyProtection="1">
      <alignment horizontal="center"/>
      <protection/>
    </xf>
    <xf numFmtId="0" fontId="0" fillId="2" borderId="9" xfId="0" applyFill="1" applyBorder="1" applyAlignment="1" applyProtection="1">
      <alignment horizontal="center"/>
      <protection/>
    </xf>
    <xf numFmtId="0" fontId="0" fillId="2" borderId="10" xfId="0" applyFill="1" applyBorder="1" applyAlignment="1" applyProtection="1">
      <alignment/>
      <protection/>
    </xf>
    <xf numFmtId="0" fontId="0" fillId="2" borderId="5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2" borderId="50" xfId="0" applyFill="1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0" fillId="2" borderId="38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2" borderId="19" xfId="0" applyFill="1" applyBorder="1" applyAlignment="1" applyProtection="1">
      <alignment/>
      <protection/>
    </xf>
    <xf numFmtId="1" fontId="0" fillId="2" borderId="40" xfId="0" applyNumberFormat="1" applyFont="1" applyFill="1" applyBorder="1" applyAlignment="1" applyProtection="1">
      <alignment horizontal="center"/>
      <protection/>
    </xf>
    <xf numFmtId="1" fontId="0" fillId="2" borderId="14" xfId="0" applyNumberFormat="1" applyFont="1" applyFill="1" applyBorder="1" applyAlignment="1" applyProtection="1">
      <alignment horizontal="center"/>
      <protection/>
    </xf>
    <xf numFmtId="1" fontId="0" fillId="2" borderId="20" xfId="0" applyNumberFormat="1" applyFont="1" applyFill="1" applyBorder="1" applyAlignment="1" applyProtection="1">
      <alignment horizontal="center"/>
      <protection/>
    </xf>
    <xf numFmtId="0" fontId="0" fillId="3" borderId="51" xfId="0" applyFill="1" applyBorder="1" applyAlignment="1" applyProtection="1">
      <alignment/>
      <protection/>
    </xf>
    <xf numFmtId="0" fontId="6" fillId="2" borderId="34" xfId="0" applyFont="1" applyFill="1" applyBorder="1" applyAlignment="1" applyProtection="1">
      <alignment/>
      <protection/>
    </xf>
    <xf numFmtId="0" fontId="5" fillId="2" borderId="14" xfId="0" applyFont="1" applyFill="1" applyBorder="1" applyAlignment="1" applyProtection="1">
      <alignment horizontal="center"/>
      <protection/>
    </xf>
    <xf numFmtId="1" fontId="5" fillId="2" borderId="20" xfId="0" applyNumberFormat="1" applyFont="1" applyFill="1" applyBorder="1" applyAlignment="1" applyProtection="1">
      <alignment horizontal="center"/>
      <protection/>
    </xf>
    <xf numFmtId="0" fontId="0" fillId="2" borderId="52" xfId="0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0" fillId="3" borderId="0" xfId="0" applyFill="1" applyAlignment="1" applyProtection="1">
      <alignment/>
      <protection/>
    </xf>
    <xf numFmtId="0" fontId="6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1" fontId="0" fillId="5" borderId="53" xfId="0" applyNumberFormat="1" applyFill="1" applyBorder="1" applyAlignment="1" applyProtection="1">
      <alignment horizontal="center"/>
      <protection locked="0"/>
    </xf>
    <xf numFmtId="1" fontId="0" fillId="5" borderId="8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" fontId="0" fillId="5" borderId="26" xfId="0" applyNumberFormat="1" applyFill="1" applyBorder="1" applyAlignment="1" applyProtection="1">
      <alignment horizontal="center"/>
      <protection locked="0"/>
    </xf>
    <xf numFmtId="0" fontId="0" fillId="5" borderId="27" xfId="0" applyFill="1" applyBorder="1" applyAlignment="1" applyProtection="1">
      <alignment horizontal="center"/>
      <protection locked="0"/>
    </xf>
    <xf numFmtId="1" fontId="0" fillId="5" borderId="28" xfId="0" applyNumberForma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15" fontId="3" fillId="0" borderId="0" xfId="0" applyNumberFormat="1" applyFont="1" applyAlignment="1">
      <alignment horizontal="centerContinuous"/>
    </xf>
    <xf numFmtId="0" fontId="0" fillId="0" borderId="0" xfId="0" applyAlignment="1">
      <alignment horizontal="centerContinuous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6" fontId="0" fillId="0" borderId="0" xfId="0" applyNumberFormat="1" applyAlignment="1" quotePrefix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169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169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169" fontId="0" fillId="6" borderId="0" xfId="0" applyNumberFormat="1" applyFill="1" applyAlignment="1">
      <alignment horizontal="center"/>
    </xf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Alignment="1">
      <alignment horizontal="left"/>
    </xf>
    <xf numFmtId="0" fontId="0" fillId="2" borderId="13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6" borderId="22" xfId="0" applyFill="1" applyBorder="1" applyAlignment="1">
      <alignment/>
    </xf>
    <xf numFmtId="1" fontId="0" fillId="6" borderId="4" xfId="0" applyNumberFormat="1" applyFill="1" applyBorder="1" applyAlignment="1">
      <alignment horizontal="center"/>
    </xf>
    <xf numFmtId="1" fontId="0" fillId="6" borderId="29" xfId="0" applyNumberFormat="1" applyFill="1" applyBorder="1" applyAlignment="1">
      <alignment horizontal="center"/>
    </xf>
    <xf numFmtId="1" fontId="0" fillId="6" borderId="30" xfId="0" applyNumberFormat="1" applyFill="1" applyBorder="1" applyAlignment="1">
      <alignment horizontal="center"/>
    </xf>
    <xf numFmtId="0" fontId="0" fillId="6" borderId="1" xfId="0" applyFill="1" applyBorder="1" applyAlignment="1">
      <alignment/>
    </xf>
    <xf numFmtId="1" fontId="0" fillId="6" borderId="36" xfId="0" applyNumberFormat="1" applyFill="1" applyBorder="1" applyAlignment="1">
      <alignment horizontal="center"/>
    </xf>
    <xf numFmtId="0" fontId="0" fillId="6" borderId="36" xfId="0" applyFill="1" applyBorder="1" applyAlignment="1">
      <alignment/>
    </xf>
    <xf numFmtId="0" fontId="0" fillId="6" borderId="1" xfId="0" applyFill="1" applyBorder="1" applyAlignment="1" applyProtection="1">
      <alignment/>
      <protection/>
    </xf>
    <xf numFmtId="1" fontId="0" fillId="6" borderId="36" xfId="0" applyNumberFormat="1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 horizontal="center"/>
      <protection/>
    </xf>
    <xf numFmtId="0" fontId="0" fillId="6" borderId="36" xfId="0" applyFill="1" applyBorder="1" applyAlignment="1" applyProtection="1">
      <alignment/>
      <protection/>
    </xf>
    <xf numFmtId="1" fontId="0" fillId="7" borderId="11" xfId="0" applyNumberFormat="1" applyFont="1" applyFill="1" applyBorder="1" applyAlignment="1" applyProtection="1">
      <alignment horizontal="center"/>
      <protection/>
    </xf>
    <xf numFmtId="1" fontId="0" fillId="7" borderId="12" xfId="0" applyNumberFormat="1" applyFont="1" applyFill="1" applyBorder="1" applyAlignment="1" applyProtection="1">
      <alignment horizontal="center"/>
      <protection/>
    </xf>
    <xf numFmtId="0" fontId="0" fillId="6" borderId="22" xfId="0" applyFill="1" applyBorder="1" applyAlignment="1" applyProtection="1">
      <alignment/>
      <protection/>
    </xf>
    <xf numFmtId="1" fontId="0" fillId="6" borderId="4" xfId="0" applyNumberFormat="1" applyFill="1" applyBorder="1" applyAlignment="1" applyProtection="1">
      <alignment horizontal="center"/>
      <protection/>
    </xf>
    <xf numFmtId="1" fontId="0" fillId="6" borderId="29" xfId="0" applyNumberFormat="1" applyFill="1" applyBorder="1" applyAlignment="1" applyProtection="1">
      <alignment horizontal="center"/>
      <protection/>
    </xf>
    <xf numFmtId="1" fontId="0" fillId="6" borderId="30" xfId="0" applyNumberFormat="1" applyFill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39" xfId="0" applyFill="1" applyBorder="1" applyAlignment="1" applyProtection="1">
      <alignment horizontal="center"/>
      <protection locked="0"/>
    </xf>
    <xf numFmtId="0" fontId="0" fillId="0" borderId="40" xfId="0" applyFill="1" applyBorder="1" applyAlignment="1" applyProtection="1">
      <alignment horizontal="center"/>
      <protection locked="0"/>
    </xf>
    <xf numFmtId="0" fontId="0" fillId="0" borderId="41" xfId="0" applyFill="1" applyBorder="1" applyAlignment="1" applyProtection="1">
      <alignment horizontal="center"/>
      <protection locked="0"/>
    </xf>
    <xf numFmtId="0" fontId="0" fillId="0" borderId="2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6" fillId="8" borderId="40" xfId="0" applyFont="1" applyFill="1" applyBorder="1" applyAlignment="1">
      <alignment horizontal="center"/>
    </xf>
    <xf numFmtId="0" fontId="0" fillId="8" borderId="0" xfId="0" applyFont="1" applyFill="1" applyAlignment="1">
      <alignment/>
    </xf>
    <xf numFmtId="0" fontId="0" fillId="0" borderId="14" xfId="0" applyBorder="1" applyAlignment="1" applyProtection="1">
      <alignment horizontal="center"/>
      <protection locked="0"/>
    </xf>
    <xf numFmtId="1" fontId="0" fillId="2" borderId="1" xfId="0" applyNumberFormat="1" applyFill="1" applyBorder="1" applyAlignment="1">
      <alignment horizontal="center"/>
    </xf>
    <xf numFmtId="1" fontId="0" fillId="2" borderId="35" xfId="0" applyNumberFormat="1" applyFill="1" applyBorder="1" applyAlignment="1">
      <alignment horizontal="center"/>
    </xf>
    <xf numFmtId="1" fontId="0" fillId="2" borderId="6" xfId="0" applyNumberFormat="1" applyFill="1" applyBorder="1" applyAlignment="1">
      <alignment horizontal="center"/>
    </xf>
    <xf numFmtId="0" fontId="0" fillId="0" borderId="3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0" fontId="0" fillId="2" borderId="35" xfId="0" applyFill="1" applyBorder="1" applyAlignment="1" applyProtection="1">
      <alignment horizontal="center"/>
      <protection/>
    </xf>
    <xf numFmtId="0" fontId="0" fillId="2" borderId="6" xfId="0" applyFill="1" applyBorder="1" applyAlignment="1" applyProtection="1">
      <alignment horizontal="center"/>
      <protection/>
    </xf>
    <xf numFmtId="0" fontId="0" fillId="2" borderId="43" xfId="0" applyFill="1" applyBorder="1" applyAlignment="1">
      <alignment horizontal="center"/>
    </xf>
    <xf numFmtId="0" fontId="0" fillId="2" borderId="46" xfId="0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0775"/>
          <c:y val="0.1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10975"/>
          <c:w val="0.82775"/>
          <c:h val="0.78375"/>
        </c:manualLayout>
      </c:layout>
      <c:scatterChart>
        <c:scatterStyle val="smooth"/>
        <c:varyColors val="0"/>
        <c:ser>
          <c:idx val="0"/>
          <c:order val="0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FFFF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1"/>
          <c:order val="1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>
                <c:ptCount val="6"/>
                <c:pt idx="0">
                  <c:v>40.8</c:v>
                </c:pt>
                <c:pt idx="1">
                  <c:v>35.1</c:v>
                </c:pt>
                <c:pt idx="2">
                  <c:v>27.4</c:v>
                </c:pt>
                <c:pt idx="3">
                  <c:v>13.200000000000003</c:v>
                </c:pt>
                <c:pt idx="4">
                  <c:v>7.100000000000001</c:v>
                </c:pt>
                <c:pt idx="5">
                  <c:v>24.4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10585839"/>
        <c:axId val="28163688"/>
      </c:scatterChart>
      <c:valAx>
        <c:axId val="10585839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6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8163688"/>
        <c:crosses val="autoZero"/>
        <c:crossBetween val="midCat"/>
        <c:dispUnits/>
        <c:majorUnit val="1"/>
        <c:minorUnit val="1"/>
      </c:valAx>
      <c:valAx>
        <c:axId val="28163688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058583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271"/>
          <c:y val="0.9295"/>
          <c:w val="0.52675"/>
          <c:h val="0.070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025"/>
          <c:y val="0.1302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9225"/>
          <c:y val="0.1265"/>
          <c:w val="0.79325"/>
          <c:h val="0.7455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'Discharge Calculator'!$H$5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Calculator'!$I$5:$N$5</c:f>
              <c:numCache/>
            </c:numRef>
          </c:yVal>
          <c:smooth val="1"/>
        </c:ser>
        <c:ser>
          <c:idx val="2"/>
          <c:order val="2"/>
          <c:tx>
            <c:strRef>
              <c:f>'Discharge Calculator'!$H$16</c:f>
              <c:strCache>
                <c:ptCount val="1"/>
                <c:pt idx="0">
                  <c:v>Output Spl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'Discharge Calculator'!$I$3:$N$3</c:f>
              <c:numCache/>
            </c:numRef>
          </c:xVal>
          <c:yVal>
            <c:numRef>
              <c:f>'Discharge Calculator'!$I$16:$N$16</c:f>
              <c:numCache>
                <c:ptCount val="6"/>
                <c:pt idx="0">
                  <c:v>40.8</c:v>
                </c:pt>
                <c:pt idx="1">
                  <c:v>35.1</c:v>
                </c:pt>
                <c:pt idx="2">
                  <c:v>27.4</c:v>
                </c:pt>
                <c:pt idx="3">
                  <c:v>13.200000000000003</c:v>
                </c:pt>
                <c:pt idx="4">
                  <c:v>7.100000000000001</c:v>
                </c:pt>
                <c:pt idx="5">
                  <c:v>24.4</c:v>
                </c:pt>
              </c:numCache>
            </c:numRef>
          </c:yVal>
          <c:smooth val="1"/>
        </c:ser>
        <c:axId val="52146601"/>
        <c:axId val="66666226"/>
      </c:scatterChart>
      <c:valAx>
        <c:axId val="5214660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6666226"/>
        <c:crosses val="autoZero"/>
        <c:crossBetween val="midCat"/>
        <c:dispUnits/>
        <c:majorUnit val="1"/>
        <c:minorUnit val="1"/>
      </c:valAx>
      <c:valAx>
        <c:axId val="6666622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5214660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29925"/>
          <c:y val="0.93475"/>
          <c:w val="0.43725"/>
          <c:h val="0.051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</a:t>
            </a:r>
          </a:p>
        </c:rich>
      </c:tx>
      <c:layout>
        <c:manualLayout>
          <c:xMode val="factor"/>
          <c:yMode val="factor"/>
          <c:x val="0.02275"/>
          <c:y val="0.1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"/>
          <c:y val="0.1335"/>
          <c:w val="0.845"/>
          <c:h val="0.6705"/>
        </c:manualLayout>
      </c:layout>
      <c:scatterChart>
        <c:scatterStyle val="smooth"/>
        <c:varyColors val="0"/>
        <c:ser>
          <c:idx val="1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3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  <c:pt idx="4">
                  <c:v>32</c:v>
                </c:pt>
                <c:pt idx="5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63125123"/>
        <c:axId val="31255196"/>
      </c:scatterChart>
      <c:valAx>
        <c:axId val="63125123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255196"/>
        <c:crosses val="autoZero"/>
        <c:crossBetween val="midCat"/>
        <c:dispUnits/>
        <c:majorUnit val="1"/>
        <c:minorUnit val="1"/>
      </c:valAx>
      <c:valAx>
        <c:axId val="3125519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312512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"/>
          <c:y val="0.915"/>
          <c:w val="0.87075"/>
          <c:h val="0.07075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</a:t>
            </a:r>
          </a:p>
        </c:rich>
      </c:tx>
      <c:layout>
        <c:manualLayout>
          <c:xMode val="factor"/>
          <c:yMode val="factor"/>
          <c:x val="0.01375"/>
          <c:y val="0.1105"/>
        </c:manualLayout>
      </c:layout>
      <c:spPr>
        <a:ln w="3175">
          <a:noFill/>
        </a:ln>
      </c:spPr>
    </c:title>
    <c:plotArea>
      <c:layout>
        <c:manualLayout>
          <c:xMode val="edge"/>
          <c:yMode val="edge"/>
          <c:x val="0.0835"/>
          <c:y val="0.1055"/>
          <c:w val="0.8105"/>
          <c:h val="0.7215"/>
        </c:manualLayout>
      </c:layout>
      <c:scatterChart>
        <c:scatterStyle val="smooth"/>
        <c:varyColors val="0"/>
        <c:ser>
          <c:idx val="2"/>
          <c:order val="0"/>
          <c:tx>
            <c:strRef>
              <c:f>'Radiated Calculator'!$A$12</c:f>
              <c:strCache>
                <c:ptCount val="1"/>
                <c:pt idx="0">
                  <c:v>Input Pwl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Calculator'!$B$12:$G$12</c:f>
              <c:numCache/>
            </c:numRef>
          </c:yVal>
          <c:smooth val="1"/>
        </c:ser>
        <c:ser>
          <c:idx val="1"/>
          <c:order val="1"/>
          <c:tx>
            <c:strRef>
              <c:f>'Radiated Calculator'!$A$17</c:f>
              <c:strCache>
                <c:ptCount val="1"/>
                <c:pt idx="0">
                  <c:v>Output Spl, AHRI 885-08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00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'Radiated Calculator'!$B$10:$G$10</c:f>
              <c:numCache/>
            </c:numRef>
          </c:xVal>
          <c:yVal>
            <c:numRef>
              <c:f>'Radiated Calculator'!$B$17:$G$17</c:f>
              <c:numCache>
                <c:ptCount val="6"/>
                <c:pt idx="0">
                  <c:v>38</c:v>
                </c:pt>
                <c:pt idx="1">
                  <c:v>38</c:v>
                </c:pt>
                <c:pt idx="2">
                  <c:v>38</c:v>
                </c:pt>
                <c:pt idx="3">
                  <c:v>34</c:v>
                </c:pt>
                <c:pt idx="4">
                  <c:v>32</c:v>
                </c:pt>
                <c:pt idx="5">
                  <c:v>19</c:v>
                </c:pt>
              </c:numCache>
            </c:numRef>
          </c:yVal>
          <c:smooth val="1"/>
        </c:ser>
        <c:ser>
          <c:idx val="0"/>
          <c:order val="2"/>
          <c:tx>
            <c:v>RC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axId val="12861309"/>
        <c:axId val="48642918"/>
      </c:scatterChart>
      <c:valAx>
        <c:axId val="12861309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1"/>
              <c:y val="0.00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8642918"/>
        <c:crosses val="autoZero"/>
        <c:crossBetween val="midCat"/>
        <c:dispUnits/>
        <c:majorUnit val="1"/>
        <c:minorUnit val="1"/>
      </c:valAx>
      <c:valAx>
        <c:axId val="4864291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286130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5925"/>
          <c:y val="0.91775"/>
          <c:w val="0.87675"/>
          <c:h val="0.07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NC Plot, Sound Pressure</a:t>
            </a:r>
          </a:p>
        </c:rich>
      </c:tx>
      <c:layout>
        <c:manualLayout>
          <c:xMode val="factor"/>
          <c:yMode val="factor"/>
          <c:x val="0.00475"/>
          <c:y val="0.06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138"/>
          <c:w val="0.8415"/>
          <c:h val="0.751"/>
        </c:manualLayout>
      </c:layout>
      <c:scatterChart>
        <c:scatterStyle val="smooth"/>
        <c:varyColors val="0"/>
        <c:ser>
          <c:idx val="0"/>
          <c:order val="0"/>
          <c:tx>
            <c:strRef>
              <c:f>'Room Sound Calculator'!$A$17</c:f>
              <c:strCache>
                <c:ptCount val="1"/>
                <c:pt idx="0">
                  <c:v>Total Room Sound Pressure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>
                <c:ptCount val="6"/>
                <c:pt idx="0">
                  <c:v>43.64343947469646</c:v>
                </c:pt>
                <c:pt idx="1">
                  <c:v>41.9220085560499</c:v>
                </c:pt>
                <c:pt idx="2">
                  <c:v>40.58276922631828</c:v>
                </c:pt>
                <c:pt idx="3">
                  <c:v>39.69408437739519</c:v>
                </c:pt>
                <c:pt idx="4">
                  <c:v>36.59101846237434</c:v>
                </c:pt>
                <c:pt idx="5">
                  <c:v>26.076929729005144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NC_Source!$A$3</c:f>
              <c:strCache>
                <c:ptCount val="1"/>
                <c:pt idx="0">
                  <c:v>NCPLOT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NC_Source!$D$6:$D$126</c:f>
              <c:numCache>
                <c:ptCount val="121"/>
                <c:pt idx="2">
                  <c:v>47</c:v>
                </c:pt>
                <c:pt idx="3">
                  <c:v>36</c:v>
                </c:pt>
                <c:pt idx="4">
                  <c:v>29</c:v>
                </c:pt>
                <c:pt idx="5">
                  <c:v>22</c:v>
                </c:pt>
                <c:pt idx="6">
                  <c:v>17</c:v>
                </c:pt>
                <c:pt idx="7">
                  <c:v>14</c:v>
                </c:pt>
                <c:pt idx="8">
                  <c:v>12</c:v>
                </c:pt>
                <c:pt idx="13">
                  <c:v>51</c:v>
                </c:pt>
                <c:pt idx="14">
                  <c:v>40</c:v>
                </c:pt>
                <c:pt idx="15">
                  <c:v>33</c:v>
                </c:pt>
                <c:pt idx="16">
                  <c:v>26</c:v>
                </c:pt>
                <c:pt idx="17">
                  <c:v>22</c:v>
                </c:pt>
                <c:pt idx="18">
                  <c:v>19</c:v>
                </c:pt>
                <c:pt idx="19">
                  <c:v>17</c:v>
                </c:pt>
                <c:pt idx="24">
                  <c:v>54</c:v>
                </c:pt>
                <c:pt idx="25">
                  <c:v>44</c:v>
                </c:pt>
                <c:pt idx="26">
                  <c:v>37</c:v>
                </c:pt>
                <c:pt idx="27">
                  <c:v>31</c:v>
                </c:pt>
                <c:pt idx="28">
                  <c:v>27</c:v>
                </c:pt>
                <c:pt idx="29">
                  <c:v>24</c:v>
                </c:pt>
                <c:pt idx="30">
                  <c:v>22</c:v>
                </c:pt>
                <c:pt idx="35">
                  <c:v>57</c:v>
                </c:pt>
                <c:pt idx="36">
                  <c:v>48</c:v>
                </c:pt>
                <c:pt idx="37">
                  <c:v>41</c:v>
                </c:pt>
                <c:pt idx="38">
                  <c:v>35</c:v>
                </c:pt>
                <c:pt idx="39">
                  <c:v>31</c:v>
                </c:pt>
                <c:pt idx="40">
                  <c:v>29</c:v>
                </c:pt>
                <c:pt idx="41">
                  <c:v>28</c:v>
                </c:pt>
                <c:pt idx="46">
                  <c:v>60</c:v>
                </c:pt>
                <c:pt idx="47">
                  <c:v>52</c:v>
                </c:pt>
                <c:pt idx="48">
                  <c:v>45</c:v>
                </c:pt>
                <c:pt idx="49">
                  <c:v>40</c:v>
                </c:pt>
                <c:pt idx="50">
                  <c:v>36</c:v>
                </c:pt>
                <c:pt idx="51">
                  <c:v>34</c:v>
                </c:pt>
                <c:pt idx="52">
                  <c:v>33</c:v>
                </c:pt>
                <c:pt idx="57">
                  <c:v>64</c:v>
                </c:pt>
                <c:pt idx="58">
                  <c:v>56</c:v>
                </c:pt>
                <c:pt idx="59">
                  <c:v>50</c:v>
                </c:pt>
                <c:pt idx="60">
                  <c:v>45</c:v>
                </c:pt>
                <c:pt idx="61">
                  <c:v>41</c:v>
                </c:pt>
                <c:pt idx="62">
                  <c:v>39</c:v>
                </c:pt>
                <c:pt idx="63">
                  <c:v>38</c:v>
                </c:pt>
                <c:pt idx="68">
                  <c:v>67</c:v>
                </c:pt>
                <c:pt idx="69">
                  <c:v>60</c:v>
                </c:pt>
                <c:pt idx="70">
                  <c:v>54</c:v>
                </c:pt>
                <c:pt idx="71">
                  <c:v>49</c:v>
                </c:pt>
                <c:pt idx="72">
                  <c:v>46</c:v>
                </c:pt>
                <c:pt idx="73">
                  <c:v>44</c:v>
                </c:pt>
                <c:pt idx="74">
                  <c:v>43</c:v>
                </c:pt>
                <c:pt idx="79">
                  <c:v>71</c:v>
                </c:pt>
                <c:pt idx="80">
                  <c:v>64</c:v>
                </c:pt>
                <c:pt idx="81">
                  <c:v>58</c:v>
                </c:pt>
                <c:pt idx="82">
                  <c:v>54</c:v>
                </c:pt>
                <c:pt idx="83">
                  <c:v>51</c:v>
                </c:pt>
                <c:pt idx="84">
                  <c:v>49</c:v>
                </c:pt>
                <c:pt idx="85">
                  <c:v>48</c:v>
                </c:pt>
                <c:pt idx="90">
                  <c:v>74</c:v>
                </c:pt>
                <c:pt idx="91">
                  <c:v>67</c:v>
                </c:pt>
                <c:pt idx="92">
                  <c:v>62</c:v>
                </c:pt>
                <c:pt idx="93">
                  <c:v>58</c:v>
                </c:pt>
                <c:pt idx="94">
                  <c:v>56</c:v>
                </c:pt>
                <c:pt idx="95">
                  <c:v>54</c:v>
                </c:pt>
                <c:pt idx="96">
                  <c:v>53</c:v>
                </c:pt>
                <c:pt idx="101">
                  <c:v>77</c:v>
                </c:pt>
                <c:pt idx="102">
                  <c:v>71</c:v>
                </c:pt>
                <c:pt idx="103">
                  <c:v>67</c:v>
                </c:pt>
                <c:pt idx="104">
                  <c:v>63</c:v>
                </c:pt>
                <c:pt idx="105">
                  <c:v>61</c:v>
                </c:pt>
                <c:pt idx="106">
                  <c:v>59</c:v>
                </c:pt>
                <c:pt idx="107">
                  <c:v>58</c:v>
                </c:pt>
                <c:pt idx="112">
                  <c:v>80</c:v>
                </c:pt>
                <c:pt idx="113">
                  <c:v>75</c:v>
                </c:pt>
                <c:pt idx="114">
                  <c:v>71</c:v>
                </c:pt>
                <c:pt idx="115">
                  <c:v>68</c:v>
                </c:pt>
                <c:pt idx="116">
                  <c:v>66</c:v>
                </c:pt>
                <c:pt idx="117">
                  <c:v>64</c:v>
                </c:pt>
                <c:pt idx="118">
                  <c:v>63</c:v>
                </c:pt>
              </c:numCache>
            </c:numRef>
          </c:xVal>
          <c:yVal>
            <c:numRef>
              <c:f>NC_Source!$C$6:$C$126</c:f>
              <c:numCache>
                <c:ptCount val="12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5</c:v>
                </c:pt>
                <c:pt idx="7">
                  <c:v>6</c:v>
                </c:pt>
                <c:pt idx="8">
                  <c:v>7</c:v>
                </c:pt>
                <c:pt idx="9">
                  <c:v>8</c:v>
                </c:pt>
                <c:pt idx="11">
                  <c:v>-1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3</c:v>
                </c:pt>
                <c:pt idx="16">
                  <c:v>4</c:v>
                </c:pt>
                <c:pt idx="17">
                  <c:v>5</c:v>
                </c:pt>
                <c:pt idx="18">
                  <c:v>6</c:v>
                </c:pt>
                <c:pt idx="19">
                  <c:v>7</c:v>
                </c:pt>
                <c:pt idx="20">
                  <c:v>8</c:v>
                </c:pt>
                <c:pt idx="22">
                  <c:v>-1</c:v>
                </c:pt>
                <c:pt idx="23">
                  <c:v>0</c:v>
                </c:pt>
                <c:pt idx="24">
                  <c:v>1</c:v>
                </c:pt>
                <c:pt idx="25">
                  <c:v>2</c:v>
                </c:pt>
                <c:pt idx="26">
                  <c:v>3</c:v>
                </c:pt>
                <c:pt idx="27">
                  <c:v>4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3">
                  <c:v>-1</c:v>
                </c:pt>
                <c:pt idx="34">
                  <c:v>0</c:v>
                </c:pt>
                <c:pt idx="35">
                  <c:v>1</c:v>
                </c:pt>
                <c:pt idx="36">
                  <c:v>2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</c:v>
                </c:pt>
                <c:pt idx="41">
                  <c:v>7</c:v>
                </c:pt>
                <c:pt idx="42">
                  <c:v>8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2</c:v>
                </c:pt>
                <c:pt idx="48">
                  <c:v>3</c:v>
                </c:pt>
                <c:pt idx="49">
                  <c:v>4</c:v>
                </c:pt>
                <c:pt idx="50">
                  <c:v>5</c:v>
                </c:pt>
                <c:pt idx="51">
                  <c:v>6</c:v>
                </c:pt>
                <c:pt idx="52">
                  <c:v>7</c:v>
                </c:pt>
                <c:pt idx="53">
                  <c:v>8</c:v>
                </c:pt>
                <c:pt idx="55">
                  <c:v>-1</c:v>
                </c:pt>
                <c:pt idx="56">
                  <c:v>0</c:v>
                </c:pt>
                <c:pt idx="57">
                  <c:v>1</c:v>
                </c:pt>
                <c:pt idx="58">
                  <c:v>2</c:v>
                </c:pt>
                <c:pt idx="59">
                  <c:v>3</c:v>
                </c:pt>
                <c:pt idx="60">
                  <c:v>4</c:v>
                </c:pt>
                <c:pt idx="61">
                  <c:v>5</c:v>
                </c:pt>
                <c:pt idx="62">
                  <c:v>6</c:v>
                </c:pt>
                <c:pt idx="63">
                  <c:v>7</c:v>
                </c:pt>
                <c:pt idx="64">
                  <c:v>8</c:v>
                </c:pt>
                <c:pt idx="66">
                  <c:v>-1</c:v>
                </c:pt>
                <c:pt idx="67">
                  <c:v>0</c:v>
                </c:pt>
                <c:pt idx="68">
                  <c:v>1</c:v>
                </c:pt>
                <c:pt idx="69">
                  <c:v>2</c:v>
                </c:pt>
                <c:pt idx="70">
                  <c:v>3</c:v>
                </c:pt>
                <c:pt idx="71">
                  <c:v>4</c:v>
                </c:pt>
                <c:pt idx="72">
                  <c:v>5</c:v>
                </c:pt>
                <c:pt idx="73">
                  <c:v>6</c:v>
                </c:pt>
                <c:pt idx="74">
                  <c:v>7</c:v>
                </c:pt>
                <c:pt idx="75">
                  <c:v>8</c:v>
                </c:pt>
                <c:pt idx="77">
                  <c:v>-1</c:v>
                </c:pt>
                <c:pt idx="78">
                  <c:v>0</c:v>
                </c:pt>
                <c:pt idx="79">
                  <c:v>1</c:v>
                </c:pt>
                <c:pt idx="80">
                  <c:v>2</c:v>
                </c:pt>
                <c:pt idx="81">
                  <c:v>3</c:v>
                </c:pt>
                <c:pt idx="82">
                  <c:v>4</c:v>
                </c:pt>
                <c:pt idx="83">
                  <c:v>5</c:v>
                </c:pt>
                <c:pt idx="84">
                  <c:v>6</c:v>
                </c:pt>
                <c:pt idx="85">
                  <c:v>7</c:v>
                </c:pt>
                <c:pt idx="86">
                  <c:v>8</c:v>
                </c:pt>
                <c:pt idx="88">
                  <c:v>-1</c:v>
                </c:pt>
                <c:pt idx="89">
                  <c:v>0</c:v>
                </c:pt>
                <c:pt idx="90">
                  <c:v>1</c:v>
                </c:pt>
                <c:pt idx="91">
                  <c:v>2</c:v>
                </c:pt>
                <c:pt idx="92">
                  <c:v>3</c:v>
                </c:pt>
                <c:pt idx="93">
                  <c:v>4</c:v>
                </c:pt>
                <c:pt idx="94">
                  <c:v>5</c:v>
                </c:pt>
                <c:pt idx="95">
                  <c:v>6</c:v>
                </c:pt>
                <c:pt idx="96">
                  <c:v>7</c:v>
                </c:pt>
                <c:pt idx="97">
                  <c:v>8</c:v>
                </c:pt>
                <c:pt idx="99">
                  <c:v>-1</c:v>
                </c:pt>
                <c:pt idx="100">
                  <c:v>0</c:v>
                </c:pt>
                <c:pt idx="101">
                  <c:v>1</c:v>
                </c:pt>
                <c:pt idx="102">
                  <c:v>2</c:v>
                </c:pt>
                <c:pt idx="103">
                  <c:v>3</c:v>
                </c:pt>
                <c:pt idx="104">
                  <c:v>4</c:v>
                </c:pt>
                <c:pt idx="105">
                  <c:v>5</c:v>
                </c:pt>
                <c:pt idx="106">
                  <c:v>6</c:v>
                </c:pt>
                <c:pt idx="107">
                  <c:v>7</c:v>
                </c:pt>
                <c:pt idx="108">
                  <c:v>8</c:v>
                </c:pt>
                <c:pt idx="110">
                  <c:v>-1</c:v>
                </c:pt>
                <c:pt idx="111">
                  <c:v>0</c:v>
                </c:pt>
                <c:pt idx="112">
                  <c:v>1</c:v>
                </c:pt>
                <c:pt idx="113">
                  <c:v>2</c:v>
                </c:pt>
                <c:pt idx="114">
                  <c:v>3</c:v>
                </c:pt>
                <c:pt idx="115">
                  <c:v>4</c:v>
                </c:pt>
                <c:pt idx="116">
                  <c:v>5</c:v>
                </c:pt>
                <c:pt idx="117">
                  <c:v>6</c:v>
                </c:pt>
                <c:pt idx="118">
                  <c:v>7</c:v>
                </c:pt>
                <c:pt idx="119">
                  <c:v>8</c:v>
                </c:pt>
              </c:numCache>
            </c:numRef>
          </c:yVal>
          <c:smooth val="1"/>
        </c:ser>
        <c:ser>
          <c:idx val="0"/>
          <c:order val="2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NC_Source!$D$4:$D$135</c:f>
              <c:numCache>
                <c:ptCount val="132"/>
                <c:pt idx="4">
                  <c:v>47</c:v>
                </c:pt>
                <c:pt idx="5">
                  <c:v>36</c:v>
                </c:pt>
                <c:pt idx="6">
                  <c:v>29</c:v>
                </c:pt>
                <c:pt idx="7">
                  <c:v>22</c:v>
                </c:pt>
                <c:pt idx="8">
                  <c:v>17</c:v>
                </c:pt>
                <c:pt idx="9">
                  <c:v>14</c:v>
                </c:pt>
                <c:pt idx="10">
                  <c:v>12</c:v>
                </c:pt>
                <c:pt idx="15">
                  <c:v>51</c:v>
                </c:pt>
                <c:pt idx="16">
                  <c:v>40</c:v>
                </c:pt>
                <c:pt idx="17">
                  <c:v>33</c:v>
                </c:pt>
                <c:pt idx="18">
                  <c:v>26</c:v>
                </c:pt>
                <c:pt idx="19">
                  <c:v>22</c:v>
                </c:pt>
                <c:pt idx="20">
                  <c:v>19</c:v>
                </c:pt>
                <c:pt idx="21">
                  <c:v>17</c:v>
                </c:pt>
                <c:pt idx="26">
                  <c:v>54</c:v>
                </c:pt>
                <c:pt idx="27">
                  <c:v>44</c:v>
                </c:pt>
                <c:pt idx="28">
                  <c:v>37</c:v>
                </c:pt>
                <c:pt idx="29">
                  <c:v>31</c:v>
                </c:pt>
                <c:pt idx="30">
                  <c:v>27</c:v>
                </c:pt>
                <c:pt idx="31">
                  <c:v>24</c:v>
                </c:pt>
                <c:pt idx="32">
                  <c:v>22</c:v>
                </c:pt>
                <c:pt idx="37">
                  <c:v>57</c:v>
                </c:pt>
                <c:pt idx="38">
                  <c:v>48</c:v>
                </c:pt>
                <c:pt idx="39">
                  <c:v>41</c:v>
                </c:pt>
                <c:pt idx="40">
                  <c:v>35</c:v>
                </c:pt>
                <c:pt idx="41">
                  <c:v>31</c:v>
                </c:pt>
                <c:pt idx="42">
                  <c:v>29</c:v>
                </c:pt>
                <c:pt idx="43">
                  <c:v>28</c:v>
                </c:pt>
                <c:pt idx="48">
                  <c:v>60</c:v>
                </c:pt>
                <c:pt idx="49">
                  <c:v>52</c:v>
                </c:pt>
                <c:pt idx="50">
                  <c:v>45</c:v>
                </c:pt>
                <c:pt idx="51">
                  <c:v>40</c:v>
                </c:pt>
                <c:pt idx="52">
                  <c:v>36</c:v>
                </c:pt>
                <c:pt idx="53">
                  <c:v>34</c:v>
                </c:pt>
                <c:pt idx="54">
                  <c:v>33</c:v>
                </c:pt>
                <c:pt idx="59">
                  <c:v>64</c:v>
                </c:pt>
                <c:pt idx="60">
                  <c:v>56</c:v>
                </c:pt>
                <c:pt idx="61">
                  <c:v>50</c:v>
                </c:pt>
                <c:pt idx="62">
                  <c:v>45</c:v>
                </c:pt>
                <c:pt idx="63">
                  <c:v>41</c:v>
                </c:pt>
                <c:pt idx="64">
                  <c:v>39</c:v>
                </c:pt>
                <c:pt idx="65">
                  <c:v>38</c:v>
                </c:pt>
                <c:pt idx="70">
                  <c:v>67</c:v>
                </c:pt>
                <c:pt idx="71">
                  <c:v>60</c:v>
                </c:pt>
                <c:pt idx="72">
                  <c:v>54</c:v>
                </c:pt>
                <c:pt idx="73">
                  <c:v>49</c:v>
                </c:pt>
                <c:pt idx="74">
                  <c:v>46</c:v>
                </c:pt>
                <c:pt idx="75">
                  <c:v>44</c:v>
                </c:pt>
                <c:pt idx="76">
                  <c:v>43</c:v>
                </c:pt>
                <c:pt idx="81">
                  <c:v>71</c:v>
                </c:pt>
                <c:pt idx="82">
                  <c:v>64</c:v>
                </c:pt>
                <c:pt idx="83">
                  <c:v>58</c:v>
                </c:pt>
                <c:pt idx="84">
                  <c:v>54</c:v>
                </c:pt>
                <c:pt idx="85">
                  <c:v>51</c:v>
                </c:pt>
                <c:pt idx="86">
                  <c:v>49</c:v>
                </c:pt>
                <c:pt idx="87">
                  <c:v>48</c:v>
                </c:pt>
                <c:pt idx="92">
                  <c:v>74</c:v>
                </c:pt>
                <c:pt idx="93">
                  <c:v>67</c:v>
                </c:pt>
                <c:pt idx="94">
                  <c:v>62</c:v>
                </c:pt>
                <c:pt idx="95">
                  <c:v>58</c:v>
                </c:pt>
                <c:pt idx="96">
                  <c:v>56</c:v>
                </c:pt>
                <c:pt idx="97">
                  <c:v>54</c:v>
                </c:pt>
                <c:pt idx="98">
                  <c:v>53</c:v>
                </c:pt>
                <c:pt idx="103">
                  <c:v>77</c:v>
                </c:pt>
                <c:pt idx="104">
                  <c:v>71</c:v>
                </c:pt>
                <c:pt idx="105">
                  <c:v>67</c:v>
                </c:pt>
                <c:pt idx="106">
                  <c:v>63</c:v>
                </c:pt>
                <c:pt idx="107">
                  <c:v>61</c:v>
                </c:pt>
                <c:pt idx="108">
                  <c:v>59</c:v>
                </c:pt>
                <c:pt idx="109">
                  <c:v>58</c:v>
                </c:pt>
                <c:pt idx="114">
                  <c:v>80</c:v>
                </c:pt>
                <c:pt idx="115">
                  <c:v>75</c:v>
                </c:pt>
                <c:pt idx="116">
                  <c:v>71</c:v>
                </c:pt>
                <c:pt idx="117">
                  <c:v>68</c:v>
                </c:pt>
                <c:pt idx="118">
                  <c:v>66</c:v>
                </c:pt>
                <c:pt idx="119">
                  <c:v>64</c:v>
                </c:pt>
                <c:pt idx="120">
                  <c:v>63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8</c:v>
                </c:pt>
              </c:numCache>
            </c:numRef>
          </c:yVal>
          <c:smooth val="1"/>
        </c:ser>
        <c:axId val="35133079"/>
        <c:axId val="47762256"/>
      </c:scatterChart>
      <c:valAx>
        <c:axId val="35133079"/>
        <c:scaling>
          <c:orientation val="minMax"/>
          <c:max val="7"/>
          <c:min val="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7762256"/>
        <c:crosses val="autoZero"/>
        <c:crossBetween val="midCat"/>
        <c:dispUnits/>
        <c:majorUnit val="1"/>
        <c:minorUnit val="1"/>
      </c:valAx>
      <c:valAx>
        <c:axId val="4776225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513307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02175"/>
          <c:y val="0.9235"/>
          <c:w val="0.3995"/>
          <c:h val="0.051"/>
        </c:manualLayout>
      </c:layout>
      <c:overlay val="0"/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RC Plot, Sound Pressure</a:t>
            </a:r>
          </a:p>
        </c:rich>
      </c:tx>
      <c:layout>
        <c:manualLayout>
          <c:xMode val="factor"/>
          <c:yMode val="factor"/>
          <c:x val="-0.00225"/>
          <c:y val="0.06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25"/>
          <c:y val="0.15175"/>
          <c:w val="0.8495"/>
          <c:h val="0.7365"/>
        </c:manualLayout>
      </c:layout>
      <c:scatterChart>
        <c:scatterStyle val="smooth"/>
        <c:varyColors val="0"/>
        <c:ser>
          <c:idx val="0"/>
          <c:order val="0"/>
          <c:tx>
            <c:v>NC Lines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NC_Source!$C$4:$C$135</c:f>
              <c:numCache>
                <c:ptCount val="132"/>
                <c:pt idx="1">
                  <c:v>-2</c:v>
                </c:pt>
                <c:pt idx="2">
                  <c:v>-1</c:v>
                </c:pt>
                <c:pt idx="3">
                  <c:v>0</c:v>
                </c:pt>
                <c:pt idx="4">
                  <c:v>1</c:v>
                </c:pt>
                <c:pt idx="5">
                  <c:v>2</c:v>
                </c:pt>
                <c:pt idx="6">
                  <c:v>3</c:v>
                </c:pt>
                <c:pt idx="7">
                  <c:v>4</c:v>
                </c:pt>
                <c:pt idx="8">
                  <c:v>5</c:v>
                </c:pt>
                <c:pt idx="9">
                  <c:v>6</c:v>
                </c:pt>
                <c:pt idx="10">
                  <c:v>7</c:v>
                </c:pt>
                <c:pt idx="11">
                  <c:v>8</c:v>
                </c:pt>
                <c:pt idx="13">
                  <c:v>-1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5</c:v>
                </c:pt>
                <c:pt idx="20">
                  <c:v>6</c:v>
                </c:pt>
                <c:pt idx="21">
                  <c:v>7</c:v>
                </c:pt>
                <c:pt idx="22">
                  <c:v>8</c:v>
                </c:pt>
                <c:pt idx="24">
                  <c:v>-1</c:v>
                </c:pt>
                <c:pt idx="25">
                  <c:v>0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5">
                  <c:v>-1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8</c:v>
                </c:pt>
                <c:pt idx="46">
                  <c:v>-1</c:v>
                </c:pt>
                <c:pt idx="47">
                  <c:v>0</c:v>
                </c:pt>
                <c:pt idx="48">
                  <c:v>1</c:v>
                </c:pt>
                <c:pt idx="49">
                  <c:v>2</c:v>
                </c:pt>
                <c:pt idx="50">
                  <c:v>3</c:v>
                </c:pt>
                <c:pt idx="51">
                  <c:v>4</c:v>
                </c:pt>
                <c:pt idx="52">
                  <c:v>5</c:v>
                </c:pt>
                <c:pt idx="53">
                  <c:v>6</c:v>
                </c:pt>
                <c:pt idx="54">
                  <c:v>7</c:v>
                </c:pt>
                <c:pt idx="55">
                  <c:v>8</c:v>
                </c:pt>
                <c:pt idx="57">
                  <c:v>-1</c:v>
                </c:pt>
                <c:pt idx="58">
                  <c:v>0</c:v>
                </c:pt>
                <c:pt idx="59">
                  <c:v>1</c:v>
                </c:pt>
                <c:pt idx="60">
                  <c:v>2</c:v>
                </c:pt>
                <c:pt idx="61">
                  <c:v>3</c:v>
                </c:pt>
                <c:pt idx="62">
                  <c:v>4</c:v>
                </c:pt>
                <c:pt idx="63">
                  <c:v>5</c:v>
                </c:pt>
                <c:pt idx="64">
                  <c:v>6</c:v>
                </c:pt>
                <c:pt idx="65">
                  <c:v>7</c:v>
                </c:pt>
                <c:pt idx="66">
                  <c:v>8</c:v>
                </c:pt>
                <c:pt idx="68">
                  <c:v>-1</c:v>
                </c:pt>
                <c:pt idx="69">
                  <c:v>0</c:v>
                </c:pt>
                <c:pt idx="70">
                  <c:v>1</c:v>
                </c:pt>
                <c:pt idx="71">
                  <c:v>2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9">
                  <c:v>-1</c:v>
                </c:pt>
                <c:pt idx="80">
                  <c:v>0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5</c:v>
                </c:pt>
                <c:pt idx="86">
                  <c:v>6</c:v>
                </c:pt>
                <c:pt idx="87">
                  <c:v>7</c:v>
                </c:pt>
                <c:pt idx="88">
                  <c:v>8</c:v>
                </c:pt>
                <c:pt idx="90">
                  <c:v>-1</c:v>
                </c:pt>
                <c:pt idx="91">
                  <c:v>0</c:v>
                </c:pt>
                <c:pt idx="92">
                  <c:v>1</c:v>
                </c:pt>
                <c:pt idx="93">
                  <c:v>2</c:v>
                </c:pt>
                <c:pt idx="94">
                  <c:v>3</c:v>
                </c:pt>
                <c:pt idx="95">
                  <c:v>4</c:v>
                </c:pt>
                <c:pt idx="96">
                  <c:v>5</c:v>
                </c:pt>
                <c:pt idx="97">
                  <c:v>6</c:v>
                </c:pt>
                <c:pt idx="98">
                  <c:v>7</c:v>
                </c:pt>
                <c:pt idx="99">
                  <c:v>8</c:v>
                </c:pt>
                <c:pt idx="101">
                  <c:v>-1</c:v>
                </c:pt>
                <c:pt idx="102">
                  <c:v>0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6</c:v>
                </c:pt>
                <c:pt idx="109">
                  <c:v>7</c:v>
                </c:pt>
                <c:pt idx="110">
                  <c:v>8</c:v>
                </c:pt>
                <c:pt idx="112">
                  <c:v>-1</c:v>
                </c:pt>
                <c:pt idx="113">
                  <c:v>0</c:v>
                </c:pt>
                <c:pt idx="114">
                  <c:v>1</c:v>
                </c:pt>
                <c:pt idx="115">
                  <c:v>2</c:v>
                </c:pt>
                <c:pt idx="116">
                  <c:v>3</c:v>
                </c:pt>
                <c:pt idx="117">
                  <c:v>4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8</c:v>
                </c:pt>
                <c:pt idx="123">
                  <c:v>-1</c:v>
                </c:pt>
                <c:pt idx="124">
                  <c:v>0</c:v>
                </c:pt>
                <c:pt idx="125">
                  <c:v>1</c:v>
                </c:pt>
                <c:pt idx="126">
                  <c:v>2</c:v>
                </c:pt>
                <c:pt idx="127">
                  <c:v>3</c:v>
                </c:pt>
                <c:pt idx="128">
                  <c:v>4</c:v>
                </c:pt>
                <c:pt idx="129">
                  <c:v>5</c:v>
                </c:pt>
                <c:pt idx="130">
                  <c:v>6</c:v>
                </c:pt>
                <c:pt idx="131">
                  <c:v>7</c:v>
                </c:pt>
              </c:numCache>
            </c:numRef>
          </c:xVal>
          <c:yVal>
            <c:numRef>
              <c:f>NC_Source!$F$4:$F$135</c:f>
              <c:numCache>
                <c:ptCount val="132"/>
                <c:pt idx="1">
                  <c:v>50</c:v>
                </c:pt>
                <c:pt idx="2">
                  <c:v>45</c:v>
                </c:pt>
                <c:pt idx="3">
                  <c:v>40</c:v>
                </c:pt>
                <c:pt idx="4">
                  <c:v>35</c:v>
                </c:pt>
                <c:pt idx="5">
                  <c:v>30</c:v>
                </c:pt>
                <c:pt idx="6">
                  <c:v>25</c:v>
                </c:pt>
                <c:pt idx="7">
                  <c:v>20</c:v>
                </c:pt>
                <c:pt idx="8">
                  <c:v>15</c:v>
                </c:pt>
                <c:pt idx="9">
                  <c:v>10</c:v>
                </c:pt>
                <c:pt idx="10">
                  <c:v>5</c:v>
                </c:pt>
                <c:pt idx="11">
                  <c:v>0</c:v>
                </c:pt>
                <c:pt idx="13">
                  <c:v>50</c:v>
                </c:pt>
                <c:pt idx="14">
                  <c:v>45</c:v>
                </c:pt>
                <c:pt idx="15">
                  <c:v>40</c:v>
                </c:pt>
                <c:pt idx="16">
                  <c:v>35</c:v>
                </c:pt>
                <c:pt idx="17">
                  <c:v>30</c:v>
                </c:pt>
                <c:pt idx="18">
                  <c:v>25</c:v>
                </c:pt>
                <c:pt idx="19">
                  <c:v>20</c:v>
                </c:pt>
                <c:pt idx="20">
                  <c:v>15</c:v>
                </c:pt>
                <c:pt idx="21">
                  <c:v>10</c:v>
                </c:pt>
                <c:pt idx="22">
                  <c:v>5</c:v>
                </c:pt>
                <c:pt idx="24">
                  <c:v>55</c:v>
                </c:pt>
                <c:pt idx="25">
                  <c:v>50</c:v>
                </c:pt>
                <c:pt idx="26">
                  <c:v>45</c:v>
                </c:pt>
                <c:pt idx="27">
                  <c:v>40</c:v>
                </c:pt>
                <c:pt idx="28">
                  <c:v>35</c:v>
                </c:pt>
                <c:pt idx="29">
                  <c:v>30</c:v>
                </c:pt>
                <c:pt idx="30">
                  <c:v>25</c:v>
                </c:pt>
                <c:pt idx="31">
                  <c:v>20</c:v>
                </c:pt>
                <c:pt idx="32">
                  <c:v>15</c:v>
                </c:pt>
                <c:pt idx="33">
                  <c:v>10</c:v>
                </c:pt>
                <c:pt idx="35">
                  <c:v>60</c:v>
                </c:pt>
                <c:pt idx="36">
                  <c:v>55</c:v>
                </c:pt>
                <c:pt idx="37">
                  <c:v>50</c:v>
                </c:pt>
                <c:pt idx="38">
                  <c:v>45</c:v>
                </c:pt>
                <c:pt idx="39">
                  <c:v>40</c:v>
                </c:pt>
                <c:pt idx="40">
                  <c:v>35</c:v>
                </c:pt>
                <c:pt idx="41">
                  <c:v>30</c:v>
                </c:pt>
                <c:pt idx="42">
                  <c:v>25</c:v>
                </c:pt>
                <c:pt idx="43">
                  <c:v>20</c:v>
                </c:pt>
                <c:pt idx="44">
                  <c:v>15</c:v>
                </c:pt>
                <c:pt idx="46">
                  <c:v>65</c:v>
                </c:pt>
                <c:pt idx="47">
                  <c:v>60</c:v>
                </c:pt>
                <c:pt idx="48">
                  <c:v>55</c:v>
                </c:pt>
                <c:pt idx="49">
                  <c:v>50</c:v>
                </c:pt>
                <c:pt idx="50">
                  <c:v>45</c:v>
                </c:pt>
                <c:pt idx="51">
                  <c:v>40</c:v>
                </c:pt>
                <c:pt idx="52">
                  <c:v>35</c:v>
                </c:pt>
                <c:pt idx="53">
                  <c:v>30</c:v>
                </c:pt>
                <c:pt idx="54">
                  <c:v>25</c:v>
                </c:pt>
                <c:pt idx="55">
                  <c:v>20</c:v>
                </c:pt>
                <c:pt idx="57">
                  <c:v>70</c:v>
                </c:pt>
                <c:pt idx="58">
                  <c:v>65</c:v>
                </c:pt>
                <c:pt idx="59">
                  <c:v>60</c:v>
                </c:pt>
                <c:pt idx="60">
                  <c:v>55</c:v>
                </c:pt>
                <c:pt idx="61">
                  <c:v>50</c:v>
                </c:pt>
                <c:pt idx="62">
                  <c:v>45</c:v>
                </c:pt>
                <c:pt idx="63">
                  <c:v>40</c:v>
                </c:pt>
                <c:pt idx="64">
                  <c:v>35</c:v>
                </c:pt>
                <c:pt idx="65">
                  <c:v>30</c:v>
                </c:pt>
                <c:pt idx="66">
                  <c:v>25</c:v>
                </c:pt>
                <c:pt idx="68">
                  <c:v>75</c:v>
                </c:pt>
                <c:pt idx="69">
                  <c:v>70</c:v>
                </c:pt>
                <c:pt idx="70">
                  <c:v>65</c:v>
                </c:pt>
                <c:pt idx="71">
                  <c:v>60</c:v>
                </c:pt>
                <c:pt idx="72">
                  <c:v>55</c:v>
                </c:pt>
                <c:pt idx="73">
                  <c:v>50</c:v>
                </c:pt>
                <c:pt idx="74">
                  <c:v>45</c:v>
                </c:pt>
                <c:pt idx="75">
                  <c:v>40</c:v>
                </c:pt>
                <c:pt idx="76">
                  <c:v>35</c:v>
                </c:pt>
                <c:pt idx="77">
                  <c:v>30</c:v>
                </c:pt>
                <c:pt idx="79">
                  <c:v>80</c:v>
                </c:pt>
                <c:pt idx="80">
                  <c:v>75</c:v>
                </c:pt>
                <c:pt idx="81">
                  <c:v>70</c:v>
                </c:pt>
                <c:pt idx="82">
                  <c:v>65</c:v>
                </c:pt>
                <c:pt idx="83">
                  <c:v>60</c:v>
                </c:pt>
                <c:pt idx="84">
                  <c:v>55</c:v>
                </c:pt>
                <c:pt idx="85">
                  <c:v>50</c:v>
                </c:pt>
                <c:pt idx="86">
                  <c:v>45</c:v>
                </c:pt>
                <c:pt idx="87">
                  <c:v>40</c:v>
                </c:pt>
                <c:pt idx="88">
                  <c:v>35</c:v>
                </c:pt>
                <c:pt idx="90">
                  <c:v>85</c:v>
                </c:pt>
                <c:pt idx="91">
                  <c:v>80</c:v>
                </c:pt>
                <c:pt idx="92">
                  <c:v>75</c:v>
                </c:pt>
                <c:pt idx="93">
                  <c:v>70</c:v>
                </c:pt>
                <c:pt idx="94">
                  <c:v>65</c:v>
                </c:pt>
                <c:pt idx="95">
                  <c:v>60</c:v>
                </c:pt>
                <c:pt idx="96">
                  <c:v>55</c:v>
                </c:pt>
                <c:pt idx="97">
                  <c:v>50</c:v>
                </c:pt>
                <c:pt idx="98">
                  <c:v>45</c:v>
                </c:pt>
                <c:pt idx="99">
                  <c:v>40</c:v>
                </c:pt>
                <c:pt idx="101">
                  <c:v>90</c:v>
                </c:pt>
                <c:pt idx="102">
                  <c:v>85</c:v>
                </c:pt>
                <c:pt idx="103">
                  <c:v>80</c:v>
                </c:pt>
                <c:pt idx="104">
                  <c:v>75</c:v>
                </c:pt>
                <c:pt idx="105">
                  <c:v>70</c:v>
                </c:pt>
                <c:pt idx="106">
                  <c:v>65</c:v>
                </c:pt>
                <c:pt idx="107">
                  <c:v>60</c:v>
                </c:pt>
                <c:pt idx="108">
                  <c:v>55</c:v>
                </c:pt>
                <c:pt idx="109">
                  <c:v>50</c:v>
                </c:pt>
                <c:pt idx="110">
                  <c:v>45</c:v>
                </c:pt>
                <c:pt idx="112">
                  <c:v>95</c:v>
                </c:pt>
                <c:pt idx="113">
                  <c:v>90</c:v>
                </c:pt>
                <c:pt idx="114">
                  <c:v>85</c:v>
                </c:pt>
                <c:pt idx="115">
                  <c:v>80</c:v>
                </c:pt>
                <c:pt idx="116">
                  <c:v>75</c:v>
                </c:pt>
                <c:pt idx="117">
                  <c:v>70</c:v>
                </c:pt>
                <c:pt idx="118">
                  <c:v>65</c:v>
                </c:pt>
                <c:pt idx="119">
                  <c:v>60</c:v>
                </c:pt>
                <c:pt idx="120">
                  <c:v>55</c:v>
                </c:pt>
                <c:pt idx="121">
                  <c:v>50</c:v>
                </c:pt>
                <c:pt idx="123">
                  <c:v>78</c:v>
                </c:pt>
                <c:pt idx="124">
                  <c:v>58</c:v>
                </c:pt>
                <c:pt idx="125">
                  <c:v>36</c:v>
                </c:pt>
                <c:pt idx="126">
                  <c:v>22</c:v>
                </c:pt>
                <c:pt idx="127">
                  <c:v>13</c:v>
                </c:pt>
                <c:pt idx="128">
                  <c:v>1</c:v>
                </c:pt>
              </c:numCache>
            </c:numRef>
          </c:yVal>
          <c:smooth val="1"/>
        </c:ser>
        <c:ser>
          <c:idx val="1"/>
          <c:order val="1"/>
          <c:tx>
            <c:v>Total Room Sound Pressure</c:v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3366"/>
              </a:solidFill>
              <a:ln>
                <a:solidFill>
                  <a:srgbClr val="003366"/>
                </a:solidFill>
              </a:ln>
            </c:spPr>
          </c:marker>
          <c:xVal>
            <c:numRef>
              <c:f>'Room Sound Calculator'!$B$6:$G$6</c:f>
              <c:numCache/>
            </c:numRef>
          </c:xVal>
          <c:yVal>
            <c:numRef>
              <c:f>'Room Sound Calculator'!$B$17:$G$17</c:f>
              <c:numCache>
                <c:ptCount val="6"/>
                <c:pt idx="0">
                  <c:v>43.64343947469646</c:v>
                </c:pt>
                <c:pt idx="1">
                  <c:v>41.9220085560499</c:v>
                </c:pt>
                <c:pt idx="2">
                  <c:v>40.58276922631828</c:v>
                </c:pt>
                <c:pt idx="3">
                  <c:v>39.69408437739519</c:v>
                </c:pt>
                <c:pt idx="4">
                  <c:v>36.59101846237434</c:v>
                </c:pt>
                <c:pt idx="5">
                  <c:v>26.076929729005144</c:v>
                </c:pt>
              </c:numCache>
            </c:numRef>
          </c:yVal>
          <c:smooth val="1"/>
        </c:ser>
        <c:axId val="27207121"/>
        <c:axId val="43537498"/>
      </c:scatterChart>
      <c:valAx>
        <c:axId val="27207121"/>
        <c:scaling>
          <c:orientation val="minMax"/>
          <c:max val="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Octave Band</a:t>
                </a:r>
              </a:p>
            </c:rich>
          </c:tx>
          <c:layout>
            <c:manualLayout>
              <c:xMode val="factor"/>
              <c:yMode val="factor"/>
              <c:x val="0.0025"/>
              <c:y val="0.00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43537498"/>
        <c:crosses val="autoZero"/>
        <c:crossBetween val="midCat"/>
        <c:dispUnits/>
        <c:majorUnit val="1"/>
        <c:minorUnit val="1"/>
      </c:valAx>
      <c:valAx>
        <c:axId val="435374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Sound Level, dB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7207121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"/>
          <c:y val="0.91825"/>
          <c:w val="0.38525"/>
          <c:h val="0.0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0.9045</cdr:x>
      <cdr:y>0.29175</cdr:y>
    </cdr:from>
    <cdr:to>
      <cdr:x>0.99425</cdr:x>
      <cdr:y>0.83825</cdr:y>
    </cdr:to>
    <cdr:grpSp>
      <cdr:nvGrpSpPr>
        <cdr:cNvPr id="1" name="Group 3"/>
        <cdr:cNvGrpSpPr>
          <a:grpSpLocks/>
        </cdr:cNvGrpSpPr>
      </cdr:nvGrpSpPr>
      <cdr:grpSpPr>
        <a:xfrm>
          <a:off x="4019550" y="1209675"/>
          <a:ext cx="400050" cy="227647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0.507</cdr:x>
      <cdr:y>0.13025</cdr:y>
    </cdr:from>
    <cdr:to>
      <cdr:x>0.52625</cdr:x>
      <cdr:y>0.18275</cdr:y>
    </cdr:to>
    <cdr:sp>
      <cdr:nvSpPr>
        <cdr:cNvPr id="14" name="TextBox 16"/>
        <cdr:cNvSpPr txBox="1">
          <a:spLocks noChangeArrowheads="1"/>
        </cdr:cNvSpPr>
      </cdr:nvSpPr>
      <cdr:spPr>
        <a:xfrm>
          <a:off x="2247900" y="542925"/>
          <a:ext cx="85725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0.233</cdr:x>
      <cdr:y>0</cdr:y>
    </cdr:from>
    <cdr:to>
      <cdr:x>0.76475</cdr:x>
      <cdr:y>0.13025</cdr:y>
    </cdr:to>
    <cdr:sp textlink="'Discharge Calculator'!$A$1">
      <cdr:nvSpPr>
        <cdr:cNvPr id="15" name="TextBox 17"/>
        <cdr:cNvSpPr txBox="1">
          <a:spLocks noChangeArrowheads="1"/>
        </cdr:cNvSpPr>
      </cdr:nvSpPr>
      <cdr:spPr>
        <a:xfrm>
          <a:off x="1028700" y="0"/>
          <a:ext cx="2362200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856962dd-f4e0-4093-91fb-1db4ce55fb21}" type="TxLink">
            <a:rPr lang="en-US" cap="none" sz="1200" b="1" i="0" u="none" baseline="0"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0.88525</cdr:x>
      <cdr:y>0.434</cdr:y>
    </cdr:from>
    <cdr:to>
      <cdr:x>0.94525</cdr:x>
      <cdr:y>0.82675</cdr:y>
    </cdr:to>
    <cdr:grpSp>
      <cdr:nvGrpSpPr>
        <cdr:cNvPr id="1" name="Group 3"/>
        <cdr:cNvGrpSpPr>
          <a:grpSpLocks/>
        </cdr:cNvGrpSpPr>
      </cdr:nvGrpSpPr>
      <cdr:grpSpPr>
        <a:xfrm>
          <a:off x="3943350" y="1800225"/>
          <a:ext cx="266700" cy="1628775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675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0.26025</cdr:x>
      <cdr:y>0</cdr:y>
    </cdr:from>
    <cdr:to>
      <cdr:x>0.772</cdr:x>
      <cdr:y>0.1305</cdr:y>
    </cdr:to>
    <cdr:sp textlink="'Discharge Calculator'!$A$1">
      <cdr:nvSpPr>
        <cdr:cNvPr id="14" name="TextBox 17"/>
        <cdr:cNvSpPr txBox="1">
          <a:spLocks noChangeArrowheads="1"/>
        </cdr:cNvSpPr>
      </cdr:nvSpPr>
      <cdr:spPr>
        <a:xfrm>
          <a:off x="1152525" y="0"/>
          <a:ext cx="2276475" cy="542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13e71760-668a-4c24-bd03-c49ed42f8fad}" type="TxLink">
            <a:rPr lang="en-US" cap="none" sz="1200" b="1" i="0" u="none" baseline="0">
              <a:latin typeface="Arial"/>
              <a:ea typeface="Arial"/>
              <a:cs typeface="Arial"/>
            </a:rPr>
            <a:t>Discharge Calculations per AHRI 885-08 </a:t>
          </a:fld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20</xdr:row>
      <xdr:rowOff>38100</xdr:rowOff>
    </xdr:from>
    <xdr:to>
      <xdr:col>6</xdr:col>
      <xdr:colOff>342900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38100" y="4152900"/>
        <a:ext cx="44481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304800</xdr:colOff>
      <xdr:row>20</xdr:row>
      <xdr:rowOff>47625</xdr:rowOff>
    </xdr:from>
    <xdr:to>
      <xdr:col>14</xdr:col>
      <xdr:colOff>38100</xdr:colOff>
      <xdr:row>45</xdr:row>
      <xdr:rowOff>152400</xdr:rowOff>
    </xdr:to>
    <xdr:graphicFrame>
      <xdr:nvGraphicFramePr>
        <xdr:cNvPr id="2" name="Chart 2"/>
        <xdr:cNvGraphicFramePr/>
      </xdr:nvGraphicFramePr>
      <xdr:xfrm>
        <a:off x="4895850" y="4162425"/>
        <a:ext cx="44577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0.93225</cdr:x>
      <cdr:y>0.28175</cdr:y>
    </cdr:from>
    <cdr:to>
      <cdr:x>0.9905</cdr:x>
      <cdr:y>0.75675</cdr:y>
    </cdr:to>
    <cdr:grpSp>
      <cdr:nvGrpSpPr>
        <cdr:cNvPr id="1" name="Group 1"/>
        <cdr:cNvGrpSpPr>
          <a:grpSpLocks/>
        </cdr:cNvGrpSpPr>
      </cdr:nvGrpSpPr>
      <cdr:grpSpPr>
        <a:xfrm>
          <a:off x="4676775" y="1171575"/>
          <a:ext cx="295275" cy="1981200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0.2135</cdr:x>
      <cdr:y>0</cdr:y>
    </cdr:from>
    <cdr:to>
      <cdr:x>0.869</cdr:x>
      <cdr:y>0.14725</cdr:y>
    </cdr:to>
    <cdr:sp textlink="'Radiated Calculator'!$A$1">
      <cdr:nvSpPr>
        <cdr:cNvPr id="14" name="TextBox 16"/>
        <cdr:cNvSpPr txBox="1">
          <a:spLocks noChangeArrowheads="1"/>
        </cdr:cNvSpPr>
      </cdr:nvSpPr>
      <cdr:spPr>
        <a:xfrm>
          <a:off x="1066800" y="0"/>
          <a:ext cx="3286125" cy="609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b5c524d-1fd9-4219-9db6-1cb124ba00df}" type="TxLink">
            <a:rPr lang="en-US" cap="none" sz="1200" b="1" i="0" u="none" baseline="0"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0.8935</cdr:x>
      <cdr:y>0.393</cdr:y>
    </cdr:from>
    <cdr:to>
      <cdr:x>0.948</cdr:x>
      <cdr:y>0.79375</cdr:y>
    </cdr:to>
    <cdr:grpSp>
      <cdr:nvGrpSpPr>
        <cdr:cNvPr id="1" name="Group 2"/>
        <cdr:cNvGrpSpPr>
          <a:grpSpLocks/>
        </cdr:cNvGrpSpPr>
      </cdr:nvGrpSpPr>
      <cdr:grpSpPr>
        <a:xfrm>
          <a:off x="4448175" y="1638300"/>
          <a:ext cx="276225" cy="1676400"/>
          <a:chOff x="5981224" y="2183740"/>
          <a:chExt cx="370999" cy="3202000"/>
        </a:xfrm>
        <a:solidFill>
          <a:srgbClr val="FFFFFF"/>
        </a:solidFill>
      </cdr:grpSpPr>
      <cdr:sp>
        <cdr:nvSpPr>
          <cdr:cNvPr id="2" name="TextBox 3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4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5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6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7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8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9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0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11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12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13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14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0.16475</cdr:x>
      <cdr:y>0</cdr:y>
    </cdr:from>
    <cdr:to>
      <cdr:x>0.825</cdr:x>
      <cdr:y>0.12175</cdr:y>
    </cdr:to>
    <cdr:sp textlink="'Radiated Calculator'!$A$1">
      <cdr:nvSpPr>
        <cdr:cNvPr id="14" name="TextBox 16"/>
        <cdr:cNvSpPr txBox="1">
          <a:spLocks noChangeArrowheads="1"/>
        </cdr:cNvSpPr>
      </cdr:nvSpPr>
      <cdr:spPr>
        <a:xfrm>
          <a:off x="819150" y="0"/>
          <a:ext cx="32861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99caede-7bd4-4d88-b85c-d89ab27fb94c}" type="TxLink">
            <a:rPr lang="en-US" cap="none" sz="1200" b="1" i="0" u="none" baseline="0">
              <a:latin typeface="Arial"/>
              <a:ea typeface="Arial"/>
              <a:cs typeface="Arial"/>
            </a:rPr>
            <a:t>Radiated Calculations per AHRI 885-08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20</xdr:row>
      <xdr:rowOff>142875</xdr:rowOff>
    </xdr:from>
    <xdr:to>
      <xdr:col>7</xdr:col>
      <xdr:colOff>66675</xdr:colOff>
      <xdr:row>46</xdr:row>
      <xdr:rowOff>104775</xdr:rowOff>
    </xdr:to>
    <xdr:graphicFrame>
      <xdr:nvGraphicFramePr>
        <xdr:cNvPr id="1" name="Chart 1"/>
        <xdr:cNvGraphicFramePr/>
      </xdr:nvGraphicFramePr>
      <xdr:xfrm>
        <a:off x="85725" y="3562350"/>
        <a:ext cx="501967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20</xdr:row>
      <xdr:rowOff>142875</xdr:rowOff>
    </xdr:from>
    <xdr:to>
      <xdr:col>15</xdr:col>
      <xdr:colOff>133350</xdr:colOff>
      <xdr:row>46</xdr:row>
      <xdr:rowOff>104775</xdr:rowOff>
    </xdr:to>
    <xdr:graphicFrame>
      <xdr:nvGraphicFramePr>
        <xdr:cNvPr id="2" name="Chart 2"/>
        <xdr:cNvGraphicFramePr/>
      </xdr:nvGraphicFramePr>
      <xdr:xfrm>
        <a:off x="5572125" y="3562350"/>
        <a:ext cx="4981575" cy="4171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0.93175</cdr:x>
      <cdr:y>0.3245</cdr:y>
    </cdr:from>
    <cdr:to>
      <cdr:x>0.98825</cdr:x>
      <cdr:y>0.83925</cdr:y>
    </cdr:to>
    <cdr:grpSp>
      <cdr:nvGrpSpPr>
        <cdr:cNvPr id="1" name="Group 11"/>
        <cdr:cNvGrpSpPr>
          <a:grpSpLocks/>
        </cdr:cNvGrpSpPr>
      </cdr:nvGrpSpPr>
      <cdr:grpSpPr>
        <a:xfrm>
          <a:off x="4381500" y="1352550"/>
          <a:ext cx="266700" cy="2143125"/>
          <a:chOff x="7039489" y="1610763"/>
          <a:chExt cx="369937" cy="3189373"/>
        </a:xfrm>
        <a:solidFill>
          <a:srgbClr val="FFFFFF"/>
        </a:solidFill>
      </cdr:grpSpPr>
      <cdr:sp>
        <cdr:nvSpPr>
          <cdr:cNvPr id="2" name="TextBox 12"/>
          <cdr:cNvSpPr txBox="1">
            <a:spLocks noChangeArrowheads="1"/>
          </cdr:cNvSpPr>
        </cdr:nvSpPr>
        <cdr:spPr>
          <a:xfrm>
            <a:off x="7039489" y="4573691"/>
            <a:ext cx="303626" cy="22644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3" name="TextBox 13"/>
          <cdr:cNvSpPr txBox="1">
            <a:spLocks noChangeArrowheads="1"/>
          </cdr:cNvSpPr>
        </cdr:nvSpPr>
        <cdr:spPr>
          <a:xfrm>
            <a:off x="7039489" y="4310567"/>
            <a:ext cx="303626" cy="261529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4" name="TextBox 14"/>
          <cdr:cNvSpPr txBox="1">
            <a:spLocks noChangeArrowheads="1"/>
          </cdr:cNvSpPr>
        </cdr:nvSpPr>
        <cdr:spPr>
          <a:xfrm>
            <a:off x="7039489" y="4049836"/>
            <a:ext cx="303626" cy="26471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5" name="TextBox 15"/>
          <cdr:cNvSpPr txBox="1">
            <a:spLocks noChangeArrowheads="1"/>
          </cdr:cNvSpPr>
        </cdr:nvSpPr>
        <cdr:spPr>
          <a:xfrm>
            <a:off x="7039489" y="3789902"/>
            <a:ext cx="303626" cy="21129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6" name="TextBox 16"/>
          <cdr:cNvSpPr txBox="1">
            <a:spLocks noChangeArrowheads="1"/>
          </cdr:cNvSpPr>
        </cdr:nvSpPr>
        <cdr:spPr>
          <a:xfrm>
            <a:off x="7039489" y="3530766"/>
            <a:ext cx="303626" cy="21289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7" name="TextBox 17"/>
          <cdr:cNvSpPr txBox="1">
            <a:spLocks noChangeArrowheads="1"/>
          </cdr:cNvSpPr>
        </cdr:nvSpPr>
        <cdr:spPr>
          <a:xfrm>
            <a:off x="7039489" y="3270832"/>
            <a:ext cx="303626" cy="20651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8" name="TextBox 18"/>
          <cdr:cNvSpPr txBox="1">
            <a:spLocks noChangeArrowheads="1"/>
          </cdr:cNvSpPr>
        </cdr:nvSpPr>
        <cdr:spPr>
          <a:xfrm>
            <a:off x="7039489" y="3010100"/>
            <a:ext cx="303626" cy="20970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9" name="TextBox 19"/>
          <cdr:cNvSpPr txBox="1">
            <a:spLocks noChangeArrowheads="1"/>
          </cdr:cNvSpPr>
        </cdr:nvSpPr>
        <cdr:spPr>
          <a:xfrm>
            <a:off x="7039489" y="2746977"/>
            <a:ext cx="303626" cy="21608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0" name="TextBox 20"/>
          <cdr:cNvSpPr txBox="1">
            <a:spLocks noChangeArrowheads="1"/>
          </cdr:cNvSpPr>
        </cdr:nvSpPr>
        <cdr:spPr>
          <a:xfrm>
            <a:off x="7039489" y="2486246"/>
            <a:ext cx="303626" cy="19933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1" name="TextBox 21"/>
          <cdr:cNvSpPr txBox="1">
            <a:spLocks noChangeArrowheads="1"/>
          </cdr:cNvSpPr>
        </cdr:nvSpPr>
        <cdr:spPr>
          <a:xfrm>
            <a:off x="7039489" y="1967175"/>
            <a:ext cx="303626" cy="20332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2" name="TextBox 22"/>
          <cdr:cNvSpPr txBox="1">
            <a:spLocks noChangeArrowheads="1"/>
          </cdr:cNvSpPr>
        </cdr:nvSpPr>
        <cdr:spPr>
          <a:xfrm>
            <a:off x="7039489" y="2231096"/>
            <a:ext cx="303626" cy="208107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3" name="TextBox 23"/>
          <cdr:cNvSpPr txBox="1">
            <a:spLocks noChangeArrowheads="1"/>
          </cdr:cNvSpPr>
        </cdr:nvSpPr>
        <cdr:spPr>
          <a:xfrm>
            <a:off x="7039489" y="1610763"/>
            <a:ext cx="369937" cy="28465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50" b="0" i="0" u="none" baseline="0">
                <a:latin typeface="Arial"/>
                <a:ea typeface="Arial"/>
                <a:cs typeface="Arial"/>
              </a:rPr>
              <a:t>NC</a:t>
            </a:r>
          </a:p>
        </cdr:txBody>
      </cdr:sp>
    </cdr:grpSp>
  </cdr:relSizeAnchor>
  <cdr:relSizeAnchor xmlns:cdr="http://schemas.openxmlformats.org/drawingml/2006/chartDrawing">
    <cdr:from>
      <cdr:x>0.30725</cdr:x>
      <cdr:y>0.02275</cdr:y>
    </cdr:from>
    <cdr:to>
      <cdr:x>0.68775</cdr:x>
      <cdr:y>0.0935</cdr:y>
    </cdr:to>
    <cdr:sp textlink="'Room Sound Calculator'!$A$1">
      <cdr:nvSpPr>
        <cdr:cNvPr id="14" name="TextBox 24"/>
        <cdr:cNvSpPr txBox="1">
          <a:spLocks noChangeArrowheads="1"/>
        </cdr:cNvSpPr>
      </cdr:nvSpPr>
      <cdr:spPr>
        <a:xfrm>
          <a:off x="1438275" y="85725"/>
          <a:ext cx="1790700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45c71a27-c400-4754-8f1a-576a17140ea8}" type="TxLink">
            <a:rPr lang="en-US" cap="none" sz="1400" b="1" i="0" u="none" baseline="0"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0.2285</cdr:x>
      <cdr:y>0.00275</cdr:y>
    </cdr:from>
    <cdr:to>
      <cdr:x>0.803</cdr:x>
      <cdr:y>0.0845</cdr:y>
    </cdr:to>
    <cdr:sp>
      <cdr:nvSpPr>
        <cdr:cNvPr id="1" name="Text 21"/>
        <cdr:cNvSpPr txBox="1">
          <a:spLocks noChangeArrowheads="1"/>
        </cdr:cNvSpPr>
      </cdr:nvSpPr>
      <cdr:spPr>
        <a:xfrm>
          <a:off x="1104900" y="9525"/>
          <a:ext cx="279082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0.9405</cdr:x>
      <cdr:y>0.4375</cdr:y>
    </cdr:from>
    <cdr:to>
      <cdr:x>0.99575</cdr:x>
      <cdr:y>0.8405</cdr:y>
    </cdr:to>
    <cdr:grpSp>
      <cdr:nvGrpSpPr>
        <cdr:cNvPr id="2" name="Group 13"/>
        <cdr:cNvGrpSpPr>
          <a:grpSpLocks/>
        </cdr:cNvGrpSpPr>
      </cdr:nvGrpSpPr>
      <cdr:grpSpPr>
        <a:xfrm>
          <a:off x="4562475" y="1828800"/>
          <a:ext cx="266700" cy="1685925"/>
          <a:chOff x="5981224" y="2183740"/>
          <a:chExt cx="370999" cy="3202000"/>
        </a:xfrm>
        <a:solidFill>
          <a:srgbClr val="FFFFFF"/>
        </a:solidFill>
      </cdr:grpSpPr>
      <cdr:sp>
        <cdr:nvSpPr>
          <cdr:cNvPr id="3" name="TextBox 14"/>
          <cdr:cNvSpPr txBox="1">
            <a:spLocks noChangeArrowheads="1"/>
          </cdr:cNvSpPr>
        </cdr:nvSpPr>
        <cdr:spPr>
          <a:xfrm>
            <a:off x="5981224" y="5158398"/>
            <a:ext cx="304034" cy="22734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15</a:t>
            </a:r>
          </a:p>
        </cdr:txBody>
      </cdr:sp>
      <cdr:sp>
        <cdr:nvSpPr>
          <cdr:cNvPr id="4" name="TextBox 15"/>
          <cdr:cNvSpPr txBox="1">
            <a:spLocks noChangeArrowheads="1"/>
          </cdr:cNvSpPr>
        </cdr:nvSpPr>
        <cdr:spPr>
          <a:xfrm>
            <a:off x="5981224" y="4893433"/>
            <a:ext cx="304034" cy="26416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20</a:t>
            </a:r>
          </a:p>
        </cdr:txBody>
      </cdr:sp>
      <cdr:sp>
        <cdr:nvSpPr>
          <cdr:cNvPr id="5" name="TextBox 16"/>
          <cdr:cNvSpPr txBox="1">
            <a:spLocks noChangeArrowheads="1"/>
          </cdr:cNvSpPr>
        </cdr:nvSpPr>
        <cdr:spPr>
          <a:xfrm>
            <a:off x="5981224" y="4632470"/>
            <a:ext cx="304034" cy="26496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25</a:t>
            </a:r>
          </a:p>
        </cdr:txBody>
      </cdr:sp>
      <cdr:sp>
        <cdr:nvSpPr>
          <cdr:cNvPr id="6" name="TextBox 17"/>
          <cdr:cNvSpPr txBox="1">
            <a:spLocks noChangeArrowheads="1"/>
          </cdr:cNvSpPr>
        </cdr:nvSpPr>
        <cdr:spPr>
          <a:xfrm>
            <a:off x="5981224" y="4370706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30</a:t>
            </a:r>
          </a:p>
        </cdr:txBody>
      </cdr:sp>
      <cdr:sp>
        <cdr:nvSpPr>
          <cdr:cNvPr id="7" name="TextBox 18"/>
          <cdr:cNvSpPr txBox="1">
            <a:spLocks noChangeArrowheads="1"/>
          </cdr:cNvSpPr>
        </cdr:nvSpPr>
        <cdr:spPr>
          <a:xfrm>
            <a:off x="5981224" y="4111344"/>
            <a:ext cx="304034" cy="212933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35</a:t>
            </a:r>
          </a:p>
        </cdr:txBody>
      </cdr:sp>
      <cdr:sp>
        <cdr:nvSpPr>
          <cdr:cNvPr id="8" name="TextBox 19"/>
          <cdr:cNvSpPr txBox="1">
            <a:spLocks noChangeArrowheads="1"/>
          </cdr:cNvSpPr>
        </cdr:nvSpPr>
        <cdr:spPr>
          <a:xfrm>
            <a:off x="5981224" y="3850381"/>
            <a:ext cx="304034" cy="207330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40</a:t>
            </a:r>
          </a:p>
        </cdr:txBody>
      </cdr:sp>
      <cdr:sp>
        <cdr:nvSpPr>
          <cdr:cNvPr id="9" name="TextBox 20"/>
          <cdr:cNvSpPr txBox="1">
            <a:spLocks noChangeArrowheads="1"/>
          </cdr:cNvSpPr>
        </cdr:nvSpPr>
        <cdr:spPr>
          <a:xfrm>
            <a:off x="5981224" y="3588618"/>
            <a:ext cx="304034" cy="211332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45</a:t>
            </a:r>
          </a:p>
        </cdr:txBody>
      </cdr:sp>
      <cdr:sp>
        <cdr:nvSpPr>
          <cdr:cNvPr id="10" name="TextBox 21"/>
          <cdr:cNvSpPr txBox="1">
            <a:spLocks noChangeArrowheads="1"/>
          </cdr:cNvSpPr>
        </cdr:nvSpPr>
        <cdr:spPr>
          <a:xfrm>
            <a:off x="5981224" y="3324453"/>
            <a:ext cx="304034" cy="216135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50</a:t>
            </a:r>
          </a:p>
        </cdr:txBody>
      </cdr:sp>
      <cdr:sp>
        <cdr:nvSpPr>
          <cdr:cNvPr id="11" name="TextBox 22"/>
          <cdr:cNvSpPr txBox="1">
            <a:spLocks noChangeArrowheads="1"/>
          </cdr:cNvSpPr>
        </cdr:nvSpPr>
        <cdr:spPr>
          <a:xfrm>
            <a:off x="5981224" y="3062689"/>
            <a:ext cx="304034" cy="200926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55</a:t>
            </a:r>
          </a:p>
        </cdr:txBody>
      </cdr:sp>
      <cdr:sp>
        <cdr:nvSpPr>
          <cdr:cNvPr id="12" name="TextBox 23"/>
          <cdr:cNvSpPr txBox="1">
            <a:spLocks noChangeArrowheads="1"/>
          </cdr:cNvSpPr>
        </cdr:nvSpPr>
        <cdr:spPr>
          <a:xfrm>
            <a:off x="5981224" y="2542364"/>
            <a:ext cx="304034" cy="20412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65</a:t>
            </a:r>
          </a:p>
        </cdr:txBody>
      </cdr:sp>
      <cdr:sp>
        <cdr:nvSpPr>
          <cdr:cNvPr id="13" name="TextBox 24"/>
          <cdr:cNvSpPr txBox="1">
            <a:spLocks noChangeArrowheads="1"/>
          </cdr:cNvSpPr>
        </cdr:nvSpPr>
        <cdr:spPr>
          <a:xfrm>
            <a:off x="5981224" y="2806529"/>
            <a:ext cx="304034" cy="208931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60</a:t>
            </a:r>
          </a:p>
        </cdr:txBody>
      </cdr:sp>
      <cdr:sp>
        <cdr:nvSpPr>
          <cdr:cNvPr id="14" name="TextBox 25"/>
          <cdr:cNvSpPr txBox="1">
            <a:spLocks noChangeArrowheads="1"/>
          </cdr:cNvSpPr>
        </cdr:nvSpPr>
        <cdr:spPr>
          <a:xfrm>
            <a:off x="5981224" y="2183740"/>
            <a:ext cx="370999" cy="284978"/>
          </a:xfrm>
          <a:prstGeom prst="rect">
            <a:avLst/>
          </a:prstGeom>
          <a:noFill/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sz="700" b="0" i="0" u="none" baseline="0">
                <a:latin typeface="Arial"/>
                <a:ea typeface="Arial"/>
                <a:cs typeface="Arial"/>
              </a:rPr>
              <a:t>RC</a:t>
            </a:r>
          </a:p>
        </cdr:txBody>
      </cdr:sp>
    </cdr:grpSp>
  </cdr:relSizeAnchor>
  <cdr:relSizeAnchor xmlns:cdr="http://schemas.openxmlformats.org/drawingml/2006/chartDrawing">
    <cdr:from>
      <cdr:x>0.24825</cdr:x>
      <cdr:y>0.0175</cdr:y>
    </cdr:from>
    <cdr:to>
      <cdr:x>0.693</cdr:x>
      <cdr:y>0.087</cdr:y>
    </cdr:to>
    <cdr:sp textlink="'Room Sound Calculator'!$A$1">
      <cdr:nvSpPr>
        <cdr:cNvPr id="15" name="TextBox 26"/>
        <cdr:cNvSpPr txBox="1">
          <a:spLocks noChangeArrowheads="1"/>
        </cdr:cNvSpPr>
      </cdr:nvSpPr>
      <cdr:spPr>
        <a:xfrm>
          <a:off x="1200150" y="66675"/>
          <a:ext cx="2162175" cy="2952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b4c891c6-0d24-4787-bb78-c514f9bad119}" type="TxLink">
            <a:rPr lang="en-US" cap="none" sz="1400" b="1" i="0" u="none" baseline="0">
              <a:latin typeface="Arial"/>
              <a:ea typeface="Arial"/>
              <a:cs typeface="Arial"/>
            </a:rPr>
            <a:t>Room Sound  Calculations</a:t>
          </a:fld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22</xdr:row>
      <xdr:rowOff>76200</xdr:rowOff>
    </xdr:from>
    <xdr:to>
      <xdr:col>6</xdr:col>
      <xdr:colOff>295275</xdr:colOff>
      <xdr:row>48</xdr:row>
      <xdr:rowOff>38100</xdr:rowOff>
    </xdr:to>
    <xdr:graphicFrame>
      <xdr:nvGraphicFramePr>
        <xdr:cNvPr id="1" name="Chart 2"/>
        <xdr:cNvGraphicFramePr/>
      </xdr:nvGraphicFramePr>
      <xdr:xfrm>
        <a:off x="38100" y="4057650"/>
        <a:ext cx="470535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200025</xdr:colOff>
      <xdr:row>22</xdr:row>
      <xdr:rowOff>66675</xdr:rowOff>
    </xdr:from>
    <xdr:to>
      <xdr:col>15</xdr:col>
      <xdr:colOff>180975</xdr:colOff>
      <xdr:row>48</xdr:row>
      <xdr:rowOff>47625</xdr:rowOff>
    </xdr:to>
    <xdr:graphicFrame>
      <xdr:nvGraphicFramePr>
        <xdr:cNvPr id="2" name="Chart 3"/>
        <xdr:cNvGraphicFramePr/>
      </xdr:nvGraphicFramePr>
      <xdr:xfrm>
        <a:off x="5095875" y="4048125"/>
        <a:ext cx="4857750" cy="4191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showGridLines="0" zoomScale="85" zoomScaleNormal="85" workbookViewId="0" topLeftCell="A1">
      <selection activeCell="I5" sqref="I5"/>
    </sheetView>
  </sheetViews>
  <sheetFormatPr defaultColWidth="9.140625" defaultRowHeight="12.75"/>
  <cols>
    <col min="1" max="1" width="28.57421875" style="0" customWidth="1"/>
    <col min="2" max="7" width="6.7109375" style="0" customWidth="1"/>
    <col min="8" max="8" width="30.8515625" style="0" customWidth="1"/>
    <col min="9" max="9" width="6.421875" style="0" customWidth="1"/>
    <col min="10" max="14" width="6.7109375" style="0" customWidth="1"/>
    <col min="15" max="15" width="3.421875" style="0" customWidth="1"/>
    <col min="16" max="16" width="2.57421875" style="0" customWidth="1"/>
    <col min="18" max="18" width="8.140625" style="0" customWidth="1"/>
  </cols>
  <sheetData>
    <row r="1" ht="18">
      <c r="A1" s="23" t="s">
        <v>226</v>
      </c>
    </row>
    <row r="2" ht="18.75" thickBot="1">
      <c r="A2" s="23"/>
    </row>
    <row r="3" spans="1:21" ht="13.5" thickBot="1">
      <c r="A3" s="6" t="s">
        <v>110</v>
      </c>
      <c r="B3" s="291" t="s">
        <v>181</v>
      </c>
      <c r="C3" s="291"/>
      <c r="D3" s="291"/>
      <c r="E3" s="291"/>
      <c r="F3" s="292"/>
      <c r="H3" s="9" t="s">
        <v>11</v>
      </c>
      <c r="I3" s="20">
        <v>2</v>
      </c>
      <c r="J3" s="10">
        <v>3</v>
      </c>
      <c r="K3" s="10">
        <v>4</v>
      </c>
      <c r="L3" s="10">
        <v>5</v>
      </c>
      <c r="M3" s="10">
        <v>6</v>
      </c>
      <c r="N3" s="11">
        <v>7</v>
      </c>
      <c r="Q3" t="s">
        <v>55</v>
      </c>
      <c r="T3" s="1"/>
      <c r="U3" s="1"/>
    </row>
    <row r="4" spans="1:14" ht="13.5" thickBot="1">
      <c r="A4" s="3" t="s">
        <v>97</v>
      </c>
      <c r="B4" s="8"/>
      <c r="C4" s="288" t="s">
        <v>1</v>
      </c>
      <c r="D4" s="289"/>
      <c r="E4" s="289"/>
      <c r="F4" s="290"/>
      <c r="H4" s="12" t="s">
        <v>12</v>
      </c>
      <c r="I4" s="21">
        <v>125</v>
      </c>
      <c r="J4" s="13">
        <v>250</v>
      </c>
      <c r="K4" s="13">
        <v>500</v>
      </c>
      <c r="L4" s="13">
        <v>1000</v>
      </c>
      <c r="M4" s="13">
        <v>2000</v>
      </c>
      <c r="N4" s="14">
        <v>4000</v>
      </c>
    </row>
    <row r="5" spans="1:17" ht="12.75">
      <c r="A5" s="4" t="s">
        <v>5</v>
      </c>
      <c r="B5" s="185">
        <v>8</v>
      </c>
      <c r="D5" t="s">
        <v>62</v>
      </c>
      <c r="H5" s="9" t="s">
        <v>13</v>
      </c>
      <c r="I5" s="179">
        <v>65</v>
      </c>
      <c r="J5" s="180">
        <v>63</v>
      </c>
      <c r="K5" s="180">
        <v>66</v>
      </c>
      <c r="L5" s="180">
        <v>66</v>
      </c>
      <c r="M5" s="180">
        <v>66</v>
      </c>
      <c r="N5" s="192">
        <v>64</v>
      </c>
      <c r="Q5" t="s">
        <v>120</v>
      </c>
    </row>
    <row r="6" spans="1:19" ht="12.75">
      <c r="A6" s="60" t="s">
        <v>10</v>
      </c>
      <c r="B6" s="186">
        <v>8</v>
      </c>
      <c r="H6" s="15" t="s">
        <v>14</v>
      </c>
      <c r="I6" s="56">
        <f>ROUND(IF(((((10^Constants!B$14)*($T$7^Constants!B$15)*($B$7^Constants!B$16))*$B$8)&lt;41),(((10^Constants!B$14)*($T$7^Constants!B$15)*($B$7^Constants!B$16))*$B$8),40),0)</f>
        <v>2</v>
      </c>
      <c r="J6" s="57">
        <f>ROUND(IF(((((10^Constants!C$14)*($T$7^Constants!C$15)*($B$7^Constants!C$16))*$B$8)&lt;41),(((10^Constants!C$14)*($T$7^Constants!C$15)*($B$7^Constants!C$16))*$B$8),40),1)</f>
        <v>5.8</v>
      </c>
      <c r="K6" s="57">
        <f>ROUND(IF(((((10^Constants!D$14)*($T$7^Constants!D$15)*($B$7^Constants!D$16))*$B$8)&lt;41),(((10^Constants!D$14)*($T$7^Constants!D$15)*($B$7^Constants!D$16))*$B$8),40),1)</f>
        <v>11.6</v>
      </c>
      <c r="L6" s="57">
        <f>ROUND(IF(((((10^Constants!E$14)*($T$7^Constants!E$15)*($B$7^Constants!E$16))*$B$8)&lt;41),(((10^Constants!E$14)*($T$7^Constants!E$15)*($B$7^Constants!E$16))*$B$8),40),1)</f>
        <v>24.9</v>
      </c>
      <c r="M6" s="57">
        <f>ROUND(IF(((((10^Constants!F$14)*($T$7^Constants!F$15)*($B$7^Constants!F$16))*$B$8)&lt;41),(((10^Constants!F$14)*($T$7^Constants!F$15)*($B$7^Constants!F$16))*$B$8),40),0)</f>
        <v>29</v>
      </c>
      <c r="N6" s="58">
        <f>ROUND(IF(((((10^Constants!G$14)*($T$7^Constants!G$15)*($B$7^Constants!G$16))*$B$8)&lt;41),(((10^Constants!G$14)*($T$7^Constants!G$15)*($B$7^Constants!G$16))*$B$8),40),1)</f>
        <v>17.9</v>
      </c>
      <c r="Q6" t="s">
        <v>58</v>
      </c>
      <c r="S6" s="54" t="s">
        <v>75</v>
      </c>
    </row>
    <row r="7" spans="1:21" ht="15.75">
      <c r="A7" s="60" t="s">
        <v>70</v>
      </c>
      <c r="B7" s="186">
        <v>1</v>
      </c>
      <c r="H7" s="15" t="s">
        <v>15</v>
      </c>
      <c r="I7" s="56">
        <f ca="1">(OFFSET(Constants!B31,(0+$B$10),0,1,1))*$B$9</f>
        <v>0</v>
      </c>
      <c r="J7" s="16">
        <f ca="1">(OFFSET(Constants!C31,(0+$B$10),0,1,1))*$B$9</f>
        <v>0</v>
      </c>
      <c r="K7" s="16">
        <f ca="1">(OFFSET(Constants!D31,(0+$B$10),0,1,1))*$B$9</f>
        <v>0</v>
      </c>
      <c r="L7" s="16">
        <f ca="1">(OFFSET(Constants!E31,(0+$B$10),0,1,1))*$B$9</f>
        <v>0</v>
      </c>
      <c r="M7" s="16">
        <f ca="1">(OFFSET(Constants!F31,(0+$B$10),0,1,1))*$B$9</f>
        <v>0</v>
      </c>
      <c r="N7" s="58">
        <f ca="1">(OFFSET(Constants!G31,(0+$B$10),0,1,1))*$B$9</f>
        <v>0</v>
      </c>
      <c r="Q7" t="s">
        <v>56</v>
      </c>
      <c r="S7" s="252" t="s">
        <v>68</v>
      </c>
      <c r="T7" s="284">
        <f>2*(B5+B6)/(B5*B6)*12</f>
        <v>6</v>
      </c>
      <c r="U7" s="253" t="s">
        <v>170</v>
      </c>
    </row>
    <row r="8" spans="1:19" ht="13.5" thickBot="1">
      <c r="A8" s="59" t="s">
        <v>69</v>
      </c>
      <c r="B8" s="187">
        <v>5</v>
      </c>
      <c r="H8" s="15" t="s">
        <v>16</v>
      </c>
      <c r="I8" s="56">
        <f ca="1">IF(B11=0,0,(OFFSET(Constants!B47,(0+$B$12),0,1,1))*$B$11)</f>
        <v>0</v>
      </c>
      <c r="J8" s="16">
        <f ca="1">IF(B11=0,0,(OFFSET(Constants!C47,(0+$B$12),0,1,1)))</f>
        <v>0</v>
      </c>
      <c r="K8" s="16">
        <f ca="1">IF(B11=0,0,(OFFSET(Constants!D47,(0+$B$12),0,1,1)))</f>
        <v>0</v>
      </c>
      <c r="L8" s="16">
        <f ca="1">IF(B11=0,0,(OFFSET(Constants!E47,(0+$B$12),0,1,1)))</f>
        <v>0</v>
      </c>
      <c r="M8" s="16">
        <f ca="1">IF(B11=0,0,(OFFSET(Constants!F47,(0+$B$12),0,1,1)))</f>
        <v>0</v>
      </c>
      <c r="N8" s="58">
        <f ca="1">IF(B11=0,0,(OFFSET(Constants!G47,(0+$B$12),0,1,1)))</f>
        <v>0</v>
      </c>
      <c r="Q8" t="s">
        <v>172</v>
      </c>
      <c r="S8" t="s">
        <v>62</v>
      </c>
    </row>
    <row r="9" spans="1:20" ht="13.5" thickBot="1">
      <c r="A9" s="4" t="s">
        <v>0</v>
      </c>
      <c r="B9" s="185">
        <v>0</v>
      </c>
      <c r="H9" s="15" t="s">
        <v>17</v>
      </c>
      <c r="I9" s="56">
        <f aca="true" t="shared" si="0" ref="I9:N9">10*LOG($B$13)</f>
        <v>0</v>
      </c>
      <c r="J9" s="57">
        <f t="shared" si="0"/>
        <v>0</v>
      </c>
      <c r="K9" s="57">
        <f t="shared" si="0"/>
        <v>0</v>
      </c>
      <c r="L9" s="57">
        <f t="shared" si="0"/>
        <v>0</v>
      </c>
      <c r="M9" s="57">
        <f t="shared" si="0"/>
        <v>0</v>
      </c>
      <c r="N9" s="58">
        <f t="shared" si="0"/>
        <v>0</v>
      </c>
      <c r="Q9" t="s">
        <v>74</v>
      </c>
      <c r="S9" t="s">
        <v>57</v>
      </c>
      <c r="T9" t="s">
        <v>62</v>
      </c>
    </row>
    <row r="10" spans="1:19" ht="16.5" thickBot="1">
      <c r="A10" s="5" t="s">
        <v>1</v>
      </c>
      <c r="B10" s="188">
        <v>1</v>
      </c>
      <c r="C10" s="176" t="str">
        <f ca="1">(OFFSET(Constants!A31,(0+$B$10),0,1,1))</f>
        <v>1, Lined Rectangular</v>
      </c>
      <c r="D10" s="177"/>
      <c r="E10" s="177"/>
      <c r="F10" s="178"/>
      <c r="H10" s="15" t="s">
        <v>4</v>
      </c>
      <c r="I10" s="56">
        <f>ROUND(IF($B$14=0,0,(10*LOG(1+((Constants!$C$57*Constants!$C$55)/(3.14159*I4*($B$14/12)))^Constants!$C$58))),0)</f>
        <v>10</v>
      </c>
      <c r="J10" s="57">
        <f>ROUND(IF($B$14=0,0,(10*LOG(1+((Constants!$C$57*Constants!$C$55)/(3.14159*J4*($B$14/12)))^Constants!$C$58))),0)</f>
        <v>5</v>
      </c>
      <c r="K10" s="57">
        <f>ROUND(IF($B$14=0,0,(10*LOG(1+((Constants!$C$57*Constants!$C$55)/(3.14159*K4*($B$14/12)))^Constants!$C$58))),0)</f>
        <v>2</v>
      </c>
      <c r="L10" s="57">
        <f>ROUND(IF($B$14=0,0,(10*LOG(1+((Constants!$C$57*Constants!$C$55)/(3.14159*L4*($B$14/12)))^Constants!$C$58))),0)</f>
        <v>1</v>
      </c>
      <c r="M10" s="57">
        <f>IF($B$14=0,0,(10*LOG(1+((Constants!$C$57*Constants!$C$55)/(3.14159*M4*($B$14/12)))^Constants!$C$58)))</f>
        <v>0.15137734588036753</v>
      </c>
      <c r="N10" s="58">
        <f>IF($B$14=0,0,(10*LOG(1+((Constants!$C$57*Constants!$C$55)/(3.14159*N4*($B$14/12)))^Constants!$C$58)))</f>
        <v>0.03834186585721526</v>
      </c>
      <c r="Q10" t="s">
        <v>4</v>
      </c>
      <c r="S10" s="64" t="s">
        <v>196</v>
      </c>
    </row>
    <row r="11" spans="1:19" ht="13.5" thickBot="1">
      <c r="A11" s="4" t="s">
        <v>2</v>
      </c>
      <c r="B11" s="185">
        <v>0</v>
      </c>
      <c r="F11" s="22"/>
      <c r="H11" s="15" t="s">
        <v>18</v>
      </c>
      <c r="I11" s="56">
        <f>ROUND(IF(B15=0,0,(Constants!B$21+Constants!B$22*$B$16+Constants!B$23*($B$16^2))+((Constants!B$24+Constants!B$25*$B$16+Constants!B$26*($B$16^2))*$B$15)),0)</f>
        <v>5</v>
      </c>
      <c r="J11" s="57">
        <f>ROUND(IF(B15=0,0,(Constants!C$21+Constants!C$22*$B$16+Constants!C$23*($B$16^2))+((Constants!C$24+Constants!C$25*$B$16+Constants!C$26*($B$16^2))*$B$15)),0)</f>
        <v>10</v>
      </c>
      <c r="K11" s="57">
        <f>ROUND(IF(B15=0,0,(Constants!D$21+Constants!D$22*$B$16+Constants!D$23*($B$16^2))+((Constants!D$24+Constants!D$25*$B$16+Constants!D$26*($B$16^2))*$B$15)),0)</f>
        <v>18</v>
      </c>
      <c r="L11" s="57">
        <f>ROUND(IF(B15=0,0,(Constants!E$21+Constants!E$22*$B$16+Constants!E$23*($B$16^2))+((Constants!E$24+Constants!E$25*$B$16+Constants!E$26*($B$16^2))*$B$15)),0)</f>
        <v>19</v>
      </c>
      <c r="M11" s="57">
        <f>ROUND(IF(B15=0,0,(Constants!F$21+Constants!F$22*$B$16+Constants!F$23*($B$16^2))+((Constants!F$24+Constants!F$25*$B$16+Constants!F$26*($B$16^2))*$B$15)),0)</f>
        <v>21</v>
      </c>
      <c r="N11" s="58">
        <f>ROUND(IF(B15=0,0,(Constants!G$21+Constants!G$22*$B$16+Constants!G$23*($B$16^2))+((Constants!G$24+Constants!G$25*$B$16+Constants!G$26*($B$16^2))*$B$15)),0)</f>
        <v>12</v>
      </c>
      <c r="Q11" t="s">
        <v>71</v>
      </c>
      <c r="S11" s="64" t="s">
        <v>46</v>
      </c>
    </row>
    <row r="12" spans="1:17" ht="13.5" thickBot="1">
      <c r="A12" s="5" t="s">
        <v>1</v>
      </c>
      <c r="B12" s="189">
        <v>1</v>
      </c>
      <c r="C12" s="176" t="str">
        <f ca="1">(OFFSET(Constants!A47,(0+$B$12),0,1,1))</f>
        <v>1, Lined Rectangular</v>
      </c>
      <c r="D12" s="177"/>
      <c r="E12" s="177"/>
      <c r="F12" s="178"/>
      <c r="H12" s="183" t="s">
        <v>21</v>
      </c>
      <c r="I12" s="184" t="s">
        <v>62</v>
      </c>
      <c r="J12" s="181"/>
      <c r="K12" s="181"/>
      <c r="L12" s="181"/>
      <c r="M12" s="181"/>
      <c r="N12" s="193"/>
      <c r="Q12" t="s">
        <v>98</v>
      </c>
    </row>
    <row r="13" spans="1:19" ht="13.5" thickBot="1">
      <c r="A13" s="6" t="s">
        <v>3</v>
      </c>
      <c r="B13" s="190">
        <v>1</v>
      </c>
      <c r="H13" s="25" t="s">
        <v>31</v>
      </c>
      <c r="I13" s="61">
        <f>Constants!B92</f>
        <v>2</v>
      </c>
      <c r="J13" s="61">
        <f>Constants!C92</f>
        <v>1</v>
      </c>
      <c r="K13" s="61">
        <f>Constants!D92</f>
        <v>0</v>
      </c>
      <c r="L13" s="61">
        <f>Constants!E92</f>
        <v>0</v>
      </c>
      <c r="M13" s="61">
        <f>Constants!F92</f>
        <v>0</v>
      </c>
      <c r="N13" s="194">
        <f>Constants!G92</f>
        <v>0</v>
      </c>
      <c r="Q13" t="s">
        <v>230</v>
      </c>
      <c r="S13" t="s">
        <v>171</v>
      </c>
    </row>
    <row r="14" spans="1:19" ht="13.5" thickBot="1">
      <c r="A14" s="6" t="s">
        <v>216</v>
      </c>
      <c r="B14" s="190">
        <v>8</v>
      </c>
      <c r="H14" s="12" t="s">
        <v>19</v>
      </c>
      <c r="I14" s="66">
        <f aca="true" t="shared" si="1" ref="I14:N14">10*LOG($B$18)+5*LOG($B$17)+3*LOG(I4)-25</f>
        <v>5.181486290942384</v>
      </c>
      <c r="J14" s="67">
        <f t="shared" si="1"/>
        <v>6.084576277934328</v>
      </c>
      <c r="K14" s="67">
        <f t="shared" si="1"/>
        <v>6.987666264926272</v>
      </c>
      <c r="L14" s="67">
        <f>ROUND((10*LOG($B$18)+5*LOG($B$17)+3*LOG(L4)-25),1)</f>
        <v>7.9</v>
      </c>
      <c r="M14" s="67">
        <f t="shared" si="1"/>
        <v>8.793846238910163</v>
      </c>
      <c r="N14" s="68">
        <f t="shared" si="1"/>
        <v>9.696936225902107</v>
      </c>
      <c r="Q14" t="s">
        <v>60</v>
      </c>
      <c r="S14" s="73" t="s">
        <v>72</v>
      </c>
    </row>
    <row r="15" spans="1:17" ht="13.5" thickBot="1">
      <c r="A15" s="4" t="s">
        <v>6</v>
      </c>
      <c r="B15" s="185">
        <v>5</v>
      </c>
      <c r="H15" s="69" t="s">
        <v>73</v>
      </c>
      <c r="I15" s="70">
        <f aca="true" t="shared" si="2" ref="I15:N15">ROUND(SUM(I6:I14),1)</f>
        <v>24.2</v>
      </c>
      <c r="J15" s="71">
        <f t="shared" si="2"/>
        <v>27.9</v>
      </c>
      <c r="K15" s="71">
        <f t="shared" si="2"/>
        <v>38.6</v>
      </c>
      <c r="L15" s="71">
        <f t="shared" si="2"/>
        <v>52.8</v>
      </c>
      <c r="M15" s="71">
        <f t="shared" si="2"/>
        <v>58.9</v>
      </c>
      <c r="N15" s="72">
        <f t="shared" si="2"/>
        <v>39.6</v>
      </c>
      <c r="Q15" t="s">
        <v>184</v>
      </c>
    </row>
    <row r="16" spans="1:17" ht="13.5" thickBot="1">
      <c r="A16" s="5" t="s">
        <v>7</v>
      </c>
      <c r="B16" s="189">
        <v>8</v>
      </c>
      <c r="H16" s="256" t="s">
        <v>20</v>
      </c>
      <c r="I16" s="257">
        <f aca="true" t="shared" si="3" ref="I16:N16">I5-I15</f>
        <v>40.8</v>
      </c>
      <c r="J16" s="258">
        <f t="shared" si="3"/>
        <v>35.1</v>
      </c>
      <c r="K16" s="258">
        <f t="shared" si="3"/>
        <v>27.4</v>
      </c>
      <c r="L16" s="258">
        <f t="shared" si="3"/>
        <v>13.200000000000003</v>
      </c>
      <c r="M16" s="258">
        <f t="shared" si="3"/>
        <v>7.100000000000001</v>
      </c>
      <c r="N16" s="259">
        <f t="shared" si="3"/>
        <v>24.4</v>
      </c>
      <c r="Q16" t="s">
        <v>185</v>
      </c>
    </row>
    <row r="17" spans="1:17" ht="13.5" thickBot="1">
      <c r="A17" s="4" t="s">
        <v>8</v>
      </c>
      <c r="B17" s="185">
        <v>2400</v>
      </c>
      <c r="H17" s="260" t="s">
        <v>22</v>
      </c>
      <c r="I17" s="261">
        <f>MAX((Constants!B9+Constants!B10*I16),(Constants!C9+Constants!C10*'Discharge Calculator'!J16),(Constants!D9+Constants!D10*'Discharge Calculator'!K16),(Constants!E9+Constants!E10*'Discharge Calculator'!L16),(Constants!F9+Constants!F10*'Discharge Calculator'!M16),(Constants!G9+Constants!G10*'Discharge Calculator'!N16))</f>
        <v>27.012</v>
      </c>
      <c r="J17" s="22"/>
      <c r="K17" s="22"/>
      <c r="L17" s="22"/>
      <c r="M17" s="22"/>
      <c r="N17" s="22"/>
      <c r="Q17" t="s">
        <v>182</v>
      </c>
    </row>
    <row r="18" spans="1:20" ht="16.5" thickBot="1">
      <c r="A18" s="7" t="s">
        <v>9</v>
      </c>
      <c r="B18" s="191">
        <v>5</v>
      </c>
      <c r="H18" s="262" t="s">
        <v>173</v>
      </c>
      <c r="I18" s="261">
        <f>(K16+L16+M16)/3</f>
        <v>15.9</v>
      </c>
      <c r="Q18" t="s">
        <v>183</v>
      </c>
      <c r="S18" s="65"/>
      <c r="T18" s="17"/>
    </row>
    <row r="19" spans="8:20" ht="51.75" customHeight="1">
      <c r="H19" s="293" t="s">
        <v>225</v>
      </c>
      <c r="I19" s="293"/>
      <c r="J19" s="293"/>
      <c r="K19" s="293"/>
      <c r="L19" s="293"/>
      <c r="M19" s="293"/>
      <c r="N19" s="293"/>
      <c r="O19" s="293"/>
      <c r="T19" s="17"/>
    </row>
    <row r="21" ht="12.75">
      <c r="S21" t="s">
        <v>221</v>
      </c>
    </row>
    <row r="22" spans="19:20" ht="12.75">
      <c r="S22" t="s">
        <v>222</v>
      </c>
      <c r="T22" s="287">
        <v>15</v>
      </c>
    </row>
    <row r="23" spans="19:20" ht="12.75">
      <c r="S23" t="s">
        <v>223</v>
      </c>
      <c r="T23" s="287">
        <v>15</v>
      </c>
    </row>
    <row r="24" spans="19:20" ht="12.75">
      <c r="S24" t="s">
        <v>224</v>
      </c>
      <c r="T24" s="57">
        <f>2*((T22*T23)/3.14159)^0.5</f>
        <v>16.92569465469553</v>
      </c>
    </row>
  </sheetData>
  <sheetProtection sheet="1" objects="1" scenarios="1"/>
  <mergeCells count="3">
    <mergeCell ref="C4:F4"/>
    <mergeCell ref="B3:F3"/>
    <mergeCell ref="H19:O19"/>
  </mergeCells>
  <printOptions/>
  <pageMargins left="0.75" right="0.75" top="1" bottom="1" header="0.5" footer="0.5"/>
  <pageSetup fitToHeight="1" fitToWidth="1" horizontalDpi="300" verticalDpi="300" orientation="landscape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9"/>
  <sheetViews>
    <sheetView showGridLines="0" zoomScale="85" zoomScaleNormal="85" workbookViewId="0" topLeftCell="A1">
      <selection activeCell="L6" sqref="L6"/>
    </sheetView>
  </sheetViews>
  <sheetFormatPr defaultColWidth="9.140625" defaultRowHeight="12.75"/>
  <cols>
    <col min="1" max="1" width="29.28125" style="0" customWidth="1"/>
    <col min="2" max="7" width="7.7109375" style="0" customWidth="1"/>
    <col min="8" max="8" width="3.00390625" style="0" customWidth="1"/>
    <col min="9" max="9" width="31.421875" style="0" customWidth="1"/>
    <col min="10" max="15" width="7.7109375" style="0" customWidth="1"/>
    <col min="18" max="18" width="9.421875" style="0" customWidth="1"/>
    <col min="20" max="20" width="15.00390625" style="0" customWidth="1"/>
  </cols>
  <sheetData>
    <row r="1" ht="18">
      <c r="A1" s="23" t="s">
        <v>227</v>
      </c>
    </row>
    <row r="2" ht="13.5" thickBot="1"/>
    <row r="3" spans="1:6" ht="13.5" thickBot="1">
      <c r="A3" s="6" t="s">
        <v>110</v>
      </c>
      <c r="B3" s="294" t="str">
        <f>'Discharge Calculator'!B3:F3</f>
        <v>Zone ID</v>
      </c>
      <c r="C3" s="294"/>
      <c r="D3" s="294"/>
      <c r="E3" s="294"/>
      <c r="F3" s="295"/>
    </row>
    <row r="4" spans="1:17" ht="13.5" thickBot="1">
      <c r="A4" s="150" t="s">
        <v>97</v>
      </c>
      <c r="B4" s="151"/>
      <c r="Q4" t="s">
        <v>175</v>
      </c>
    </row>
    <row r="5" ht="12.75">
      <c r="A5" t="s">
        <v>62</v>
      </c>
    </row>
    <row r="6" ht="13.5" thickBot="1"/>
    <row r="7" spans="1:4" ht="13.5" thickBot="1">
      <c r="A7" s="150" t="s">
        <v>200</v>
      </c>
      <c r="B7" s="8"/>
      <c r="C7" s="296" t="s">
        <v>1</v>
      </c>
      <c r="D7" s="297"/>
    </row>
    <row r="8" spans="1:9" ht="13.5" thickBot="1">
      <c r="A8" s="152" t="s">
        <v>99</v>
      </c>
      <c r="B8" s="182">
        <v>1</v>
      </c>
      <c r="C8" s="288" t="str">
        <f ca="1">OFFSET(Constants!A64,(0+$B$8),0,1,1)</f>
        <v>1, Mineral Fiber </v>
      </c>
      <c r="D8" s="289"/>
      <c r="E8" s="290"/>
      <c r="I8" t="s">
        <v>213</v>
      </c>
    </row>
    <row r="9" ht="13.5" thickBot="1">
      <c r="I9" t="s">
        <v>214</v>
      </c>
    </row>
    <row r="10" spans="1:9" ht="12.75">
      <c r="A10" s="9" t="s">
        <v>11</v>
      </c>
      <c r="B10" s="20">
        <v>2</v>
      </c>
      <c r="C10" s="10">
        <v>3</v>
      </c>
      <c r="D10" s="10">
        <v>4</v>
      </c>
      <c r="E10" s="10">
        <v>5</v>
      </c>
      <c r="F10" s="10">
        <v>6</v>
      </c>
      <c r="G10" s="11">
        <v>7</v>
      </c>
      <c r="I10" t="s">
        <v>62</v>
      </c>
    </row>
    <row r="11" spans="1:7" ht="13.5" thickBot="1">
      <c r="A11" s="12" t="s">
        <v>12</v>
      </c>
      <c r="B11" s="21">
        <v>125</v>
      </c>
      <c r="C11" s="13">
        <v>250</v>
      </c>
      <c r="D11" s="13">
        <v>500</v>
      </c>
      <c r="E11" s="13">
        <v>1000</v>
      </c>
      <c r="F11" s="13">
        <v>2000</v>
      </c>
      <c r="G11" s="14">
        <v>4000</v>
      </c>
    </row>
    <row r="12" spans="1:9" ht="12.75">
      <c r="A12" s="9" t="s">
        <v>13</v>
      </c>
      <c r="B12" s="278">
        <v>56</v>
      </c>
      <c r="C12" s="279">
        <v>57</v>
      </c>
      <c r="D12" s="279">
        <v>58</v>
      </c>
      <c r="E12" s="279">
        <v>60</v>
      </c>
      <c r="F12" s="279">
        <v>63</v>
      </c>
      <c r="G12" s="280">
        <v>55</v>
      </c>
      <c r="I12" t="s">
        <v>120</v>
      </c>
    </row>
    <row r="13" spans="1:9" ht="12.75">
      <c r="A13" s="15" t="s">
        <v>101</v>
      </c>
      <c r="B13" s="56">
        <f ca="1">OFFSET(Constants!B64,(0+$B$8),0,1,1)</f>
        <v>16</v>
      </c>
      <c r="C13" s="57">
        <f ca="1">OFFSET(Constants!C64,(0+$B$8),0,1,1)</f>
        <v>18</v>
      </c>
      <c r="D13" s="57">
        <f ca="1">OFFSET(Constants!D64,(0+$B$8),0,1,1)</f>
        <v>20</v>
      </c>
      <c r="E13" s="57">
        <f ca="1">OFFSET(Constants!E64,(0+$B$8),0,1,1)</f>
        <v>26</v>
      </c>
      <c r="F13" s="57">
        <f ca="1">OFFSET(Constants!F64,(0+$B$8),0,1,1)</f>
        <v>31</v>
      </c>
      <c r="G13" s="58">
        <f ca="1">OFFSET(Constants!G64,(0+$B$8),0,1,1)</f>
        <v>36</v>
      </c>
      <c r="I13" t="s">
        <v>228</v>
      </c>
    </row>
    <row r="14" spans="1:9" ht="12.75">
      <c r="A14" s="254" t="s">
        <v>21</v>
      </c>
      <c r="B14" s="281">
        <v>0</v>
      </c>
      <c r="C14" s="282">
        <v>0</v>
      </c>
      <c r="D14" s="282">
        <v>0</v>
      </c>
      <c r="E14" s="282">
        <v>0</v>
      </c>
      <c r="F14" s="282">
        <v>0</v>
      </c>
      <c r="G14" s="283">
        <v>0</v>
      </c>
      <c r="I14" t="s">
        <v>59</v>
      </c>
    </row>
    <row r="15" spans="1:9" ht="12.75">
      <c r="A15" s="175" t="s">
        <v>31</v>
      </c>
      <c r="B15" s="61">
        <f>Constants!B92</f>
        <v>2</v>
      </c>
      <c r="C15" s="62">
        <f>Constants!C92</f>
        <v>1</v>
      </c>
      <c r="D15" s="62">
        <f>Constants!D92</f>
        <v>0</v>
      </c>
      <c r="E15" s="62">
        <f>Constants!E92</f>
        <v>0</v>
      </c>
      <c r="F15" s="62">
        <f>Constants!F92</f>
        <v>0</v>
      </c>
      <c r="G15" s="63">
        <f>Constants!G92</f>
        <v>0</v>
      </c>
      <c r="I15" t="s">
        <v>228</v>
      </c>
    </row>
    <row r="16" spans="1:9" ht="13.5" thickBot="1">
      <c r="A16" s="69" t="s">
        <v>73</v>
      </c>
      <c r="B16" s="70">
        <f aca="true" t="shared" si="0" ref="B16:G16">SUM(B13:B15)</f>
        <v>18</v>
      </c>
      <c r="C16" s="71">
        <f t="shared" si="0"/>
        <v>19</v>
      </c>
      <c r="D16" s="71">
        <f t="shared" si="0"/>
        <v>20</v>
      </c>
      <c r="E16" s="71">
        <f t="shared" si="0"/>
        <v>26</v>
      </c>
      <c r="F16" s="71">
        <f t="shared" si="0"/>
        <v>31</v>
      </c>
      <c r="G16" s="72">
        <f t="shared" si="0"/>
        <v>36</v>
      </c>
      <c r="I16" t="s">
        <v>189</v>
      </c>
    </row>
    <row r="17" spans="1:9" ht="13.5" thickBot="1">
      <c r="A17" s="256" t="s">
        <v>229</v>
      </c>
      <c r="B17" s="257">
        <f aca="true" t="shared" si="1" ref="B17:G17">B12-B16</f>
        <v>38</v>
      </c>
      <c r="C17" s="258">
        <f t="shared" si="1"/>
        <v>38</v>
      </c>
      <c r="D17" s="258">
        <f t="shared" si="1"/>
        <v>38</v>
      </c>
      <c r="E17" s="258">
        <f t="shared" si="1"/>
        <v>34</v>
      </c>
      <c r="F17" s="258">
        <f t="shared" si="1"/>
        <v>32</v>
      </c>
      <c r="G17" s="259">
        <f t="shared" si="1"/>
        <v>19</v>
      </c>
      <c r="I17" t="s">
        <v>186</v>
      </c>
    </row>
    <row r="18" spans="1:9" ht="13.5" thickBot="1">
      <c r="A18" s="260" t="s">
        <v>22</v>
      </c>
      <c r="B18" s="261">
        <f>MAX((Constants!B$9+Constants!B$10*B17),(Constants!C$9+Constants!C$10*C17),(Constants!D$9+Constants!D$10*D17),(Constants!E$9+Constants!E$10*E17),(Constants!F$9+Constants!F$10*F17),(Constants!G$9+Constants!G$10*G17))</f>
        <v>33</v>
      </c>
      <c r="C18" s="22"/>
      <c r="D18" s="22"/>
      <c r="E18" s="22"/>
      <c r="F18" s="22"/>
      <c r="G18" s="22"/>
      <c r="I18" t="s">
        <v>187</v>
      </c>
    </row>
    <row r="19" spans="1:9" ht="13.5" thickBot="1">
      <c r="A19" s="262" t="s">
        <v>173</v>
      </c>
      <c r="B19" s="261">
        <f>(D17+E17+F17)/3</f>
        <v>34.666666666666664</v>
      </c>
      <c r="I19" t="s">
        <v>188</v>
      </c>
    </row>
  </sheetData>
  <sheetProtection sheet="1" objects="1" scenarios="1"/>
  <mergeCells count="3">
    <mergeCell ref="C8:E8"/>
    <mergeCell ref="B3:F3"/>
    <mergeCell ref="C7:D7"/>
  </mergeCells>
  <printOptions/>
  <pageMargins left="0.75" right="0.75" top="1" bottom="1" header="0.5" footer="0.5"/>
  <pageSetup fitToHeight="1" fitToWidth="1" horizontalDpi="600" verticalDpi="600" orientation="landscape" scale="7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1"/>
  <sheetViews>
    <sheetView showGridLines="0" tabSelected="1" zoomScale="85" zoomScaleNormal="85" workbookViewId="0" topLeftCell="A5">
      <selection activeCell="A52" sqref="A52"/>
    </sheetView>
  </sheetViews>
  <sheetFormatPr defaultColWidth="9.140625" defaultRowHeight="12.75"/>
  <cols>
    <col min="1" max="1" width="33.140625" style="200" customWidth="1"/>
    <col min="2" max="7" width="6.7109375" style="200" customWidth="1"/>
    <col min="8" max="16384" width="9.140625" style="200" customWidth="1"/>
  </cols>
  <sheetData>
    <row r="1" ht="18">
      <c r="A1" s="199" t="s">
        <v>111</v>
      </c>
    </row>
    <row r="2" ht="15">
      <c r="A2" s="229" t="s">
        <v>112</v>
      </c>
    </row>
    <row r="3" ht="15">
      <c r="A3" s="229" t="s">
        <v>113</v>
      </c>
    </row>
    <row r="4" ht="18" customHeight="1" thickBot="1">
      <c r="A4" s="199"/>
    </row>
    <row r="5" spans="1:7" ht="13.5" thickBot="1">
      <c r="A5" s="255" t="s">
        <v>174</v>
      </c>
      <c r="B5" s="294" t="str">
        <f>'Discharge Calculator'!B3</f>
        <v>Zone ID</v>
      </c>
      <c r="C5" s="294"/>
      <c r="D5" s="294"/>
      <c r="E5" s="294"/>
      <c r="F5" s="294"/>
      <c r="G5" s="295"/>
    </row>
    <row r="6" spans="1:17" ht="12.75">
      <c r="A6" s="201" t="s">
        <v>11</v>
      </c>
      <c r="B6" s="202">
        <v>2</v>
      </c>
      <c r="C6" s="203">
        <v>3</v>
      </c>
      <c r="D6" s="203">
        <v>4</v>
      </c>
      <c r="E6" s="203">
        <v>5</v>
      </c>
      <c r="F6" s="203">
        <v>6</v>
      </c>
      <c r="G6" s="204">
        <v>7</v>
      </c>
      <c r="Q6" s="200" t="s">
        <v>148</v>
      </c>
    </row>
    <row r="7" spans="1:7" ht="13.5" thickBot="1">
      <c r="A7" s="205" t="s">
        <v>12</v>
      </c>
      <c r="B7" s="206">
        <v>125</v>
      </c>
      <c r="C7" s="207">
        <v>250</v>
      </c>
      <c r="D7" s="207">
        <v>500</v>
      </c>
      <c r="E7" s="207">
        <v>1000</v>
      </c>
      <c r="F7" s="207">
        <v>2000</v>
      </c>
      <c r="G7" s="208">
        <v>4000</v>
      </c>
    </row>
    <row r="8" spans="1:17" ht="12.75">
      <c r="A8" s="201" t="s">
        <v>169</v>
      </c>
      <c r="B8" s="230">
        <f>'Discharge Calculator'!I16</f>
        <v>40.8</v>
      </c>
      <c r="C8" s="231">
        <f>'Discharge Calculator'!J16</f>
        <v>35.1</v>
      </c>
      <c r="D8" s="231">
        <f>'Discharge Calculator'!K16</f>
        <v>27.4</v>
      </c>
      <c r="E8" s="231">
        <f>'Discharge Calculator'!L16</f>
        <v>13.200000000000003</v>
      </c>
      <c r="F8" s="231">
        <f>'Discharge Calculator'!M16</f>
        <v>7.100000000000001</v>
      </c>
      <c r="G8" s="232">
        <f>'Discharge Calculator'!N16</f>
        <v>24.4</v>
      </c>
      <c r="I8" s="200" t="s">
        <v>176</v>
      </c>
      <c r="Q8" s="200" t="s">
        <v>140</v>
      </c>
    </row>
    <row r="9" spans="1:17" ht="13.5" thickBot="1">
      <c r="A9" s="209" t="s">
        <v>117</v>
      </c>
      <c r="B9" s="233">
        <f>'Radiated Calculator'!B17</f>
        <v>38</v>
      </c>
      <c r="C9" s="234">
        <f>'Radiated Calculator'!C17</f>
        <v>38</v>
      </c>
      <c r="D9" s="234">
        <f>'Radiated Calculator'!D17</f>
        <v>38</v>
      </c>
      <c r="E9" s="234">
        <f>'Radiated Calculator'!E17</f>
        <v>34</v>
      </c>
      <c r="F9" s="234">
        <f>'Radiated Calculator'!F17</f>
        <v>32</v>
      </c>
      <c r="G9" s="235">
        <f>'Radiated Calculator'!G17</f>
        <v>19</v>
      </c>
      <c r="I9" s="200" t="s">
        <v>215</v>
      </c>
      <c r="Q9" s="200" t="s">
        <v>116</v>
      </c>
    </row>
    <row r="10" ht="13.5" thickBot="1"/>
    <row r="11" spans="1:17" ht="13.5" thickBot="1">
      <c r="A11" s="210" t="s">
        <v>114</v>
      </c>
      <c r="B11" s="198">
        <v>44</v>
      </c>
      <c r="C11" s="196">
        <v>44.88151074710576</v>
      </c>
      <c r="D11" s="196">
        <v>43.59343627575128</v>
      </c>
      <c r="E11" s="196">
        <v>46.216817014912294</v>
      </c>
      <c r="F11" s="196">
        <v>43.5234821723008</v>
      </c>
      <c r="G11" s="195">
        <v>26.718333795480703</v>
      </c>
      <c r="I11" s="200" t="s">
        <v>177</v>
      </c>
      <c r="Q11" s="200" t="s">
        <v>147</v>
      </c>
    </row>
    <row r="12" spans="1:17" ht="13.5" thickBot="1">
      <c r="A12" s="211" t="s">
        <v>115</v>
      </c>
      <c r="B12" s="197">
        <v>1</v>
      </c>
      <c r="C12" s="212"/>
      <c r="D12" s="212"/>
      <c r="E12" s="212"/>
      <c r="F12" s="212"/>
      <c r="G12" s="213"/>
      <c r="I12" s="200" t="s">
        <v>231</v>
      </c>
      <c r="Q12" s="54" t="s">
        <v>232</v>
      </c>
    </row>
    <row r="13" spans="1:17" ht="12.75">
      <c r="A13" s="214" t="s">
        <v>19</v>
      </c>
      <c r="B13" s="215">
        <f>'Discharge Calculator'!I14</f>
        <v>5.181486290942384</v>
      </c>
      <c r="C13" s="216">
        <f>'Discharge Calculator'!J14</f>
        <v>6.084576277934328</v>
      </c>
      <c r="D13" s="216">
        <f>'Discharge Calculator'!K14</f>
        <v>6.987666264926272</v>
      </c>
      <c r="E13" s="216">
        <f>'Discharge Calculator'!L14</f>
        <v>7.9</v>
      </c>
      <c r="F13" s="216">
        <f>'Discharge Calculator'!M14</f>
        <v>8.793846238910163</v>
      </c>
      <c r="G13" s="217">
        <f>'Discharge Calculator'!N14</f>
        <v>9.696936225902107</v>
      </c>
      <c r="I13" s="200" t="s">
        <v>140</v>
      </c>
      <c r="Q13" s="200" t="s">
        <v>141</v>
      </c>
    </row>
    <row r="14" spans="1:17" ht="12.75">
      <c r="A14" s="218" t="s">
        <v>21</v>
      </c>
      <c r="B14" s="181">
        <v>0</v>
      </c>
      <c r="C14" s="181">
        <v>0</v>
      </c>
      <c r="D14" s="181">
        <v>0</v>
      </c>
      <c r="E14" s="181">
        <v>0</v>
      </c>
      <c r="F14" s="181">
        <v>0</v>
      </c>
      <c r="G14" s="193">
        <v>0</v>
      </c>
      <c r="I14" s="200" t="s">
        <v>193</v>
      </c>
      <c r="Q14" s="200" t="s">
        <v>98</v>
      </c>
    </row>
    <row r="15" spans="1:17" ht="12.75">
      <c r="A15" s="219" t="s">
        <v>31</v>
      </c>
      <c r="B15" s="220">
        <f>Constants!B92</f>
        <v>2</v>
      </c>
      <c r="C15" s="220">
        <f>Constants!C92</f>
        <v>1</v>
      </c>
      <c r="D15" s="220">
        <f>Constants!D92</f>
        <v>0</v>
      </c>
      <c r="E15" s="220">
        <f>Constants!E92</f>
        <v>0</v>
      </c>
      <c r="F15" s="220">
        <f>Constants!F92</f>
        <v>0</v>
      </c>
      <c r="G15" s="221">
        <f>Constants!G92</f>
        <v>0</v>
      </c>
      <c r="I15" s="200" t="s">
        <v>178</v>
      </c>
      <c r="Q15" s="200" t="s">
        <v>100</v>
      </c>
    </row>
    <row r="16" spans="1:17" ht="16.5" thickBot="1">
      <c r="A16" s="222" t="s">
        <v>118</v>
      </c>
      <c r="B16" s="267">
        <f aca="true" t="shared" si="0" ref="B16:G16">B11-B13-B14-B15+10*LOG($B$12)</f>
        <v>36.81851370905761</v>
      </c>
      <c r="C16" s="267">
        <f t="shared" si="0"/>
        <v>37.79693446917143</v>
      </c>
      <c r="D16" s="267">
        <f t="shared" si="0"/>
        <v>36.60577001082501</v>
      </c>
      <c r="E16" s="267">
        <f t="shared" si="0"/>
        <v>38.316817014912296</v>
      </c>
      <c r="F16" s="267">
        <f t="shared" si="0"/>
        <v>34.72963593339064</v>
      </c>
      <c r="G16" s="268">
        <f t="shared" si="0"/>
        <v>17.021397569578596</v>
      </c>
      <c r="I16" s="200" t="s">
        <v>179</v>
      </c>
      <c r="K16" s="227"/>
      <c r="L16" s="223"/>
      <c r="Q16" s="200" t="s">
        <v>142</v>
      </c>
    </row>
    <row r="17" spans="1:17" ht="16.5" thickBot="1">
      <c r="A17" s="269" t="s">
        <v>122</v>
      </c>
      <c r="B17" s="270">
        <f aca="true" t="shared" si="1" ref="B17:G17">10*LOG((10^(B8/10))+10^(B9/10)+10^(B16/10))</f>
        <v>43.64343947469646</v>
      </c>
      <c r="C17" s="271">
        <f t="shared" si="1"/>
        <v>41.9220085560499</v>
      </c>
      <c r="D17" s="271">
        <f t="shared" si="1"/>
        <v>40.58276922631828</v>
      </c>
      <c r="E17" s="271">
        <f t="shared" si="1"/>
        <v>39.69408437739519</v>
      </c>
      <c r="F17" s="271">
        <f t="shared" si="1"/>
        <v>36.59101846237434</v>
      </c>
      <c r="G17" s="272">
        <f t="shared" si="1"/>
        <v>26.076929729005144</v>
      </c>
      <c r="I17" s="200" t="s">
        <v>180</v>
      </c>
      <c r="K17" s="225"/>
      <c r="L17" s="223"/>
      <c r="Q17" s="224" t="s">
        <v>119</v>
      </c>
    </row>
    <row r="18" spans="1:17" ht="16.5" thickBot="1">
      <c r="A18" s="263" t="s">
        <v>22</v>
      </c>
      <c r="B18" s="264">
        <f>MAX((Constants!B9+Constants!B10*B17),(Constants!C9+Constants!C10*'Room Sound Calculator'!C17),(Constants!D9+Constants!D10*'Room Sound Calculator'!D17),(Constants!E9+Constants!E10*'Room Sound Calculator'!E17),(Constants!F9+Constants!F10*'Room Sound Calculator'!F17),(Constants!G9+Constants!G10*'Room Sound Calculator'!G17))</f>
        <v>38.28796606494309</v>
      </c>
      <c r="C18" s="226"/>
      <c r="D18" s="226"/>
      <c r="E18" s="226"/>
      <c r="F18" s="226"/>
      <c r="G18" s="226"/>
      <c r="I18" t="s">
        <v>190</v>
      </c>
      <c r="K18" s="225"/>
      <c r="L18" s="223"/>
      <c r="Q18" s="224" t="s">
        <v>143</v>
      </c>
    </row>
    <row r="19" spans="3:4" ht="13.5" thickBot="1">
      <c r="C19" s="228" t="s">
        <v>144</v>
      </c>
      <c r="D19" s="228" t="s">
        <v>145</v>
      </c>
    </row>
    <row r="20" spans="1:17" ht="13.5" thickBot="1">
      <c r="A20" s="263" t="s">
        <v>121</v>
      </c>
      <c r="B20" s="264">
        <f>(D17+E17+F17)/3</f>
        <v>38.95595735536261</v>
      </c>
      <c r="C20" s="265" t="str">
        <f>IF(B17&gt;(B20+15+5),"R",IF(C17&gt;(B20+10+5),"R","N "))</f>
        <v>N </v>
      </c>
      <c r="D20" s="265" t="str">
        <f>IF(OR(G5&gt;(B9-10+3),(F5&gt;(B9-5+3)),(E5&gt;(B9+3))),"H","N ")</f>
        <v>N </v>
      </c>
      <c r="I20" t="s">
        <v>191</v>
      </c>
      <c r="Q20" s="200" t="s">
        <v>146</v>
      </c>
    </row>
    <row r="21" spans="1:17" ht="13.5" thickBot="1">
      <c r="A21" s="266" t="s">
        <v>166</v>
      </c>
      <c r="B21" s="264">
        <f>'DbA Calc'!C16</f>
        <v>43.80818796245633</v>
      </c>
      <c r="I21" s="200" t="s">
        <v>192</v>
      </c>
      <c r="Q21" s="200" t="s">
        <v>168</v>
      </c>
    </row>
  </sheetData>
  <sheetProtection sheet="1" objects="1" scenarios="1"/>
  <mergeCells count="1">
    <mergeCell ref="B5:G5"/>
  </mergeCells>
  <printOptions/>
  <pageMargins left="0.75" right="0.75" top="1" bottom="1" header="0.5" footer="0.5"/>
  <pageSetup fitToHeight="1" fitToWidth="1" horizontalDpi="300" verticalDpi="3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showGridLines="0" workbookViewId="0" topLeftCell="A1">
      <selection activeCell="M11" sqref="M11"/>
    </sheetView>
  </sheetViews>
  <sheetFormatPr defaultColWidth="9.140625" defaultRowHeight="12.75"/>
  <cols>
    <col min="1" max="1" width="9.140625" style="2" customWidth="1"/>
    <col min="2" max="4" width="5.7109375" style="2" customWidth="1"/>
    <col min="5" max="5" width="9.28125" style="2" customWidth="1"/>
    <col min="6" max="10" width="5.7109375" style="2" customWidth="1"/>
    <col min="11" max="11" width="9.57421875" style="2" customWidth="1"/>
    <col min="12" max="13" width="5.7109375" style="2" customWidth="1"/>
    <col min="15" max="17" width="9.140625" style="2" customWidth="1"/>
  </cols>
  <sheetData>
    <row r="1" spans="1:6" ht="12.75">
      <c r="A1" s="236" t="s">
        <v>149</v>
      </c>
      <c r="B1" s="236"/>
      <c r="F1" s="237"/>
    </row>
    <row r="2" spans="1:7" ht="12.75">
      <c r="A2" s="238" t="s">
        <v>150</v>
      </c>
      <c r="B2" s="239"/>
      <c r="C2" s="240"/>
      <c r="G2" s="236" t="s">
        <v>151</v>
      </c>
    </row>
    <row r="3" spans="1:17" ht="12.75">
      <c r="A3" s="241" t="s">
        <v>152</v>
      </c>
      <c r="B3" s="241" t="s">
        <v>153</v>
      </c>
      <c r="C3" s="241" t="s">
        <v>154</v>
      </c>
      <c r="D3" s="241" t="s">
        <v>155</v>
      </c>
      <c r="E3" s="241" t="s">
        <v>156</v>
      </c>
      <c r="F3" s="242"/>
      <c r="G3" s="236" t="s">
        <v>157</v>
      </c>
      <c r="J3" s="242"/>
      <c r="K3"/>
      <c r="O3" s="243"/>
      <c r="P3" s="244"/>
      <c r="Q3" s="244"/>
    </row>
    <row r="4" spans="1:11" ht="12.75">
      <c r="A4" s="245" t="s">
        <v>158</v>
      </c>
      <c r="B4" s="245" t="s">
        <v>159</v>
      </c>
      <c r="C4" s="245" t="s">
        <v>160</v>
      </c>
      <c r="D4" s="245" t="s">
        <v>160</v>
      </c>
      <c r="E4" s="245" t="s">
        <v>158</v>
      </c>
      <c r="K4"/>
    </row>
    <row r="5" spans="1:11" ht="12.75">
      <c r="A5" s="249">
        <v>31.5</v>
      </c>
      <c r="B5" s="250">
        <v>79</v>
      </c>
      <c r="C5" s="250">
        <f aca="true" t="shared" si="0" ref="C5:D14">C20</f>
        <v>39.6</v>
      </c>
      <c r="D5" s="250">
        <f t="shared" si="0"/>
        <v>76</v>
      </c>
      <c r="E5" s="249">
        <v>31.5</v>
      </c>
      <c r="G5" s="238" t="s">
        <v>167</v>
      </c>
      <c r="K5"/>
    </row>
    <row r="6" spans="1:11" ht="12.75">
      <c r="A6" s="249">
        <v>63</v>
      </c>
      <c r="B6" s="250">
        <v>74</v>
      </c>
      <c r="C6" s="250">
        <f t="shared" si="0"/>
        <v>47.8</v>
      </c>
      <c r="D6" s="250">
        <f t="shared" si="0"/>
        <v>73.2</v>
      </c>
      <c r="E6" s="249">
        <v>63</v>
      </c>
      <c r="K6"/>
    </row>
    <row r="7" spans="1:11" ht="12.75">
      <c r="A7" s="245">
        <v>125</v>
      </c>
      <c r="B7" s="246">
        <f>'Room Sound Calculator'!B17</f>
        <v>43.64343947469646</v>
      </c>
      <c r="C7" s="246">
        <f t="shared" si="0"/>
        <v>27.543439474696456</v>
      </c>
      <c r="D7" s="246">
        <f t="shared" si="0"/>
        <v>43.443439474696454</v>
      </c>
      <c r="E7" s="245">
        <v>125</v>
      </c>
      <c r="K7"/>
    </row>
    <row r="8" spans="1:11" ht="12.75">
      <c r="A8" s="245">
        <v>250</v>
      </c>
      <c r="B8" s="246">
        <f>'Room Sound Calculator'!C17</f>
        <v>41.9220085560499</v>
      </c>
      <c r="C8" s="246">
        <f t="shared" si="0"/>
        <v>33.3220085560499</v>
      </c>
      <c r="D8" s="246">
        <f t="shared" si="0"/>
        <v>41.9220085560499</v>
      </c>
      <c r="E8" s="245">
        <v>250</v>
      </c>
      <c r="K8"/>
    </row>
    <row r="9" spans="1:11" ht="12.75">
      <c r="A9" s="245">
        <v>500</v>
      </c>
      <c r="B9" s="246">
        <f>'Room Sound Calculator'!D17</f>
        <v>40.58276922631828</v>
      </c>
      <c r="C9" s="246">
        <f t="shared" si="0"/>
        <v>37.382769226318274</v>
      </c>
      <c r="D9" s="246">
        <f t="shared" si="0"/>
        <v>40.58276922631828</v>
      </c>
      <c r="E9" s="245">
        <v>500</v>
      </c>
      <c r="K9"/>
    </row>
    <row r="10" spans="1:11" ht="12.75">
      <c r="A10" s="245">
        <v>1000</v>
      </c>
      <c r="B10" s="246">
        <f>'Room Sound Calculator'!E17</f>
        <v>39.69408437739519</v>
      </c>
      <c r="C10" s="246">
        <f t="shared" si="0"/>
        <v>39.69408437739519</v>
      </c>
      <c r="D10" s="246">
        <f t="shared" si="0"/>
        <v>39.69408437739519</v>
      </c>
      <c r="E10" s="245">
        <v>1000</v>
      </c>
      <c r="K10"/>
    </row>
    <row r="11" spans="1:11" ht="12.75">
      <c r="A11" s="245">
        <v>2000</v>
      </c>
      <c r="B11" s="246">
        <f>'Room Sound Calculator'!F17</f>
        <v>36.59101846237434</v>
      </c>
      <c r="C11" s="246">
        <f t="shared" si="0"/>
        <v>37.791018462374346</v>
      </c>
      <c r="D11" s="246">
        <f t="shared" si="0"/>
        <v>36.39101846237434</v>
      </c>
      <c r="E11" s="245">
        <v>2000</v>
      </c>
      <c r="K11"/>
    </row>
    <row r="12" spans="1:11" ht="12.75">
      <c r="A12" s="245">
        <v>4000</v>
      </c>
      <c r="B12" s="246">
        <f>'Room Sound Calculator'!G17</f>
        <v>26.076929729005144</v>
      </c>
      <c r="C12" s="246">
        <f t="shared" si="0"/>
        <v>27.076929729005144</v>
      </c>
      <c r="D12" s="246">
        <f t="shared" si="0"/>
        <v>25.276929729005143</v>
      </c>
      <c r="E12" s="245">
        <v>4000</v>
      </c>
      <c r="K12"/>
    </row>
    <row r="13" spans="1:11" ht="12.75">
      <c r="A13" s="249">
        <v>8000</v>
      </c>
      <c r="B13" s="250">
        <v>36</v>
      </c>
      <c r="C13" s="250">
        <f t="shared" si="0"/>
        <v>34.9</v>
      </c>
      <c r="D13" s="250">
        <f t="shared" si="0"/>
        <v>33</v>
      </c>
      <c r="E13" s="249">
        <v>8000</v>
      </c>
      <c r="G13" s="238" t="s">
        <v>167</v>
      </c>
      <c r="K13"/>
    </row>
    <row r="14" spans="1:11" ht="12.75">
      <c r="A14" s="249">
        <v>16000</v>
      </c>
      <c r="B14" s="250"/>
      <c r="C14" s="250">
        <f t="shared" si="0"/>
        <v>-6.6</v>
      </c>
      <c r="D14" s="250">
        <f t="shared" si="0"/>
        <v>-8.5</v>
      </c>
      <c r="E14" s="249">
        <v>16000</v>
      </c>
      <c r="K14"/>
    </row>
    <row r="15" spans="1:11" ht="12.75">
      <c r="A15" s="245" t="s">
        <v>153</v>
      </c>
      <c r="B15" s="246">
        <f>B30</f>
        <v>80.19615123554078</v>
      </c>
      <c r="C15" s="2" t="s">
        <v>161</v>
      </c>
      <c r="D15" s="2" t="s">
        <v>161</v>
      </c>
      <c r="E15" s="245" t="s">
        <v>153</v>
      </c>
      <c r="K15"/>
    </row>
    <row r="16" spans="1:17" ht="12.75">
      <c r="A16" s="245" t="s">
        <v>154</v>
      </c>
      <c r="B16" s="247" t="s">
        <v>161</v>
      </c>
      <c r="C16" s="248">
        <f>C30</f>
        <v>43.80818796245633</v>
      </c>
      <c r="D16" s="247" t="s">
        <v>161</v>
      </c>
      <c r="E16" s="245" t="s">
        <v>154</v>
      </c>
      <c r="F16" s="247"/>
      <c r="G16" s="247"/>
      <c r="H16" s="247"/>
      <c r="I16" s="247"/>
      <c r="J16" s="247"/>
      <c r="K16"/>
      <c r="O16" s="246"/>
      <c r="P16" s="246"/>
      <c r="Q16" s="246"/>
    </row>
    <row r="17" spans="1:5" ht="12.75">
      <c r="A17" s="245" t="s">
        <v>155</v>
      </c>
      <c r="B17" s="2" t="s">
        <v>161</v>
      </c>
      <c r="C17" s="2" t="s">
        <v>161</v>
      </c>
      <c r="D17" s="246">
        <f>D30</f>
        <v>77.83680569412026</v>
      </c>
      <c r="E17" s="245" t="s">
        <v>155</v>
      </c>
    </row>
    <row r="18" spans="1:5" ht="12.75">
      <c r="A18" s="245"/>
      <c r="E18" s="245"/>
    </row>
    <row r="19" spans="1:10" ht="12.75">
      <c r="A19" s="2" t="s">
        <v>162</v>
      </c>
      <c r="B19" s="2" t="s">
        <v>153</v>
      </c>
      <c r="C19" s="2" t="s">
        <v>154</v>
      </c>
      <c r="D19" s="2" t="s">
        <v>155</v>
      </c>
      <c r="E19" s="2" t="s">
        <v>163</v>
      </c>
      <c r="F19"/>
      <c r="G19"/>
      <c r="H19"/>
      <c r="I19"/>
      <c r="J19"/>
    </row>
    <row r="20" spans="1:10" ht="12.75">
      <c r="A20" s="251">
        <v>-39.4</v>
      </c>
      <c r="B20" s="250">
        <f aca="true" t="shared" si="1" ref="B20:B29">B5</f>
        <v>79</v>
      </c>
      <c r="C20" s="250">
        <f>B5+$A20</f>
        <v>39.6</v>
      </c>
      <c r="D20" s="250">
        <f>B5+$E20</f>
        <v>76</v>
      </c>
      <c r="E20" s="251">
        <v>-3</v>
      </c>
      <c r="F20"/>
      <c r="G20" s="238" t="s">
        <v>167</v>
      </c>
      <c r="H20"/>
      <c r="I20"/>
      <c r="J20"/>
    </row>
    <row r="21" spans="1:10" ht="12.75">
      <c r="A21" s="251">
        <v>-26.2</v>
      </c>
      <c r="B21" s="250">
        <f t="shared" si="1"/>
        <v>74</v>
      </c>
      <c r="C21" s="250">
        <f aca="true" t="shared" si="2" ref="C21:C29">B6+$A21</f>
        <v>47.8</v>
      </c>
      <c r="D21" s="250">
        <f aca="true" t="shared" si="3" ref="D21:D29">B6+$E21</f>
        <v>73.2</v>
      </c>
      <c r="E21" s="251">
        <v>-0.8</v>
      </c>
      <c r="F21"/>
      <c r="G21"/>
      <c r="H21"/>
      <c r="I21"/>
      <c r="J21"/>
    </row>
    <row r="22" spans="1:10" ht="12.75">
      <c r="A22" s="2">
        <v>-16.1</v>
      </c>
      <c r="B22" s="246">
        <f t="shared" si="1"/>
        <v>43.64343947469646</v>
      </c>
      <c r="C22" s="246">
        <f t="shared" si="2"/>
        <v>27.543439474696456</v>
      </c>
      <c r="D22" s="246">
        <f t="shared" si="3"/>
        <v>43.443439474696454</v>
      </c>
      <c r="E22" s="2">
        <v>-0.2</v>
      </c>
      <c r="F22"/>
      <c r="G22"/>
      <c r="H22"/>
      <c r="I22"/>
      <c r="J22"/>
    </row>
    <row r="23" spans="1:10" ht="12.75">
      <c r="A23" s="2">
        <v>-8.6</v>
      </c>
      <c r="B23" s="246">
        <f t="shared" si="1"/>
        <v>41.9220085560499</v>
      </c>
      <c r="C23" s="246">
        <f t="shared" si="2"/>
        <v>33.3220085560499</v>
      </c>
      <c r="D23" s="246">
        <f t="shared" si="3"/>
        <v>41.9220085560499</v>
      </c>
      <c r="E23" s="2">
        <v>0</v>
      </c>
      <c r="F23"/>
      <c r="G23"/>
      <c r="H23"/>
      <c r="I23"/>
      <c r="J23"/>
    </row>
    <row r="24" spans="1:10" ht="12.75">
      <c r="A24" s="2">
        <v>-3.2</v>
      </c>
      <c r="B24" s="246">
        <f t="shared" si="1"/>
        <v>40.58276922631828</v>
      </c>
      <c r="C24" s="246">
        <f t="shared" si="2"/>
        <v>37.382769226318274</v>
      </c>
      <c r="D24" s="246">
        <f t="shared" si="3"/>
        <v>40.58276922631828</v>
      </c>
      <c r="E24" s="2">
        <v>0</v>
      </c>
      <c r="F24"/>
      <c r="G24"/>
      <c r="H24"/>
      <c r="I24"/>
      <c r="J24"/>
    </row>
    <row r="25" spans="1:10" ht="12.75">
      <c r="A25" s="2">
        <v>0</v>
      </c>
      <c r="B25" s="246">
        <f t="shared" si="1"/>
        <v>39.69408437739519</v>
      </c>
      <c r="C25" s="246">
        <f t="shared" si="2"/>
        <v>39.69408437739519</v>
      </c>
      <c r="D25" s="246">
        <f t="shared" si="3"/>
        <v>39.69408437739519</v>
      </c>
      <c r="E25" s="2">
        <v>0</v>
      </c>
      <c r="F25"/>
      <c r="G25"/>
      <c r="H25"/>
      <c r="I25"/>
      <c r="J25"/>
    </row>
    <row r="26" spans="1:10" ht="12.75">
      <c r="A26" s="2">
        <v>1.2</v>
      </c>
      <c r="B26" s="246">
        <f t="shared" si="1"/>
        <v>36.59101846237434</v>
      </c>
      <c r="C26" s="246">
        <f t="shared" si="2"/>
        <v>37.791018462374346</v>
      </c>
      <c r="D26" s="246">
        <f t="shared" si="3"/>
        <v>36.39101846237434</v>
      </c>
      <c r="E26" s="2">
        <v>-0.2</v>
      </c>
      <c r="F26"/>
      <c r="G26"/>
      <c r="H26"/>
      <c r="I26"/>
      <c r="J26"/>
    </row>
    <row r="27" spans="1:10" ht="12.75">
      <c r="A27" s="2">
        <v>1</v>
      </c>
      <c r="B27" s="246">
        <f t="shared" si="1"/>
        <v>26.076929729005144</v>
      </c>
      <c r="C27" s="246">
        <f t="shared" si="2"/>
        <v>27.076929729005144</v>
      </c>
      <c r="D27" s="246">
        <f t="shared" si="3"/>
        <v>25.276929729005143</v>
      </c>
      <c r="E27" s="2">
        <v>-0.8</v>
      </c>
      <c r="F27"/>
      <c r="G27"/>
      <c r="H27"/>
      <c r="I27"/>
      <c r="J27"/>
    </row>
    <row r="28" spans="1:10" ht="12.75">
      <c r="A28" s="251">
        <v>-1.1</v>
      </c>
      <c r="B28" s="250">
        <f t="shared" si="1"/>
        <v>36</v>
      </c>
      <c r="C28" s="250">
        <f t="shared" si="2"/>
        <v>34.9</v>
      </c>
      <c r="D28" s="250">
        <f t="shared" si="3"/>
        <v>33</v>
      </c>
      <c r="E28" s="251">
        <v>-3</v>
      </c>
      <c r="F28"/>
      <c r="G28" s="238" t="s">
        <v>167</v>
      </c>
      <c r="H28"/>
      <c r="I28"/>
      <c r="J28"/>
    </row>
    <row r="29" spans="1:10" ht="12.75">
      <c r="A29" s="251">
        <v>-6.6</v>
      </c>
      <c r="B29" s="250">
        <f t="shared" si="1"/>
        <v>0</v>
      </c>
      <c r="C29" s="250">
        <f t="shared" si="2"/>
        <v>-6.6</v>
      </c>
      <c r="D29" s="250">
        <f t="shared" si="3"/>
        <v>-8.5</v>
      </c>
      <c r="E29" s="251">
        <v>-8.5</v>
      </c>
      <c r="F29"/>
      <c r="G29"/>
      <c r="H29"/>
      <c r="I29"/>
      <c r="J29"/>
    </row>
    <row r="30" spans="1:10" ht="12.75">
      <c r="A30" s="2" t="s">
        <v>164</v>
      </c>
      <c r="B30" s="246">
        <f>10*LOG(10^(B20/10)+10^(B21/10)+10^(B22/10)+10^(B23/10)+10^(B24/10)+10^(B25/10)+10^(B26/10)+10^(B27/10)+10^(B28/10)+10^(B29/10))</f>
        <v>80.19615123554078</v>
      </c>
      <c r="C30" s="246">
        <f>10*LOG(10^(C22/10)+10^(C23/10)+10^(C24/10)+10^(C25/10)+10^(C26/10)+10^(C27/10))</f>
        <v>43.80818796245633</v>
      </c>
      <c r="D30" s="246">
        <f>10*LOG(10^(D20/10)+10^(D21/10)+10^(D22/10)+10^(D23/10)+10^(D24/10)+10^(D25/10)+10^(D26/10)+10^(D27/10)+10^(D28/10)+10^(D29/10))</f>
        <v>77.83680569412026</v>
      </c>
      <c r="E30" s="2" t="s">
        <v>164</v>
      </c>
      <c r="F30"/>
      <c r="G30"/>
      <c r="H30"/>
      <c r="I30"/>
      <c r="J30"/>
    </row>
    <row r="31" spans="1:5" ht="12.75">
      <c r="A31" s="2" t="s">
        <v>165</v>
      </c>
      <c r="B31" s="2" t="s">
        <v>153</v>
      </c>
      <c r="C31" s="2" t="s">
        <v>154</v>
      </c>
      <c r="D31" s="2" t="s">
        <v>155</v>
      </c>
      <c r="E31" s="2" t="s">
        <v>165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AC97"/>
  <sheetViews>
    <sheetView showGridLines="0" zoomScale="75" zoomScaleNormal="75" workbookViewId="0" topLeftCell="A13">
      <selection activeCell="N51" sqref="N51"/>
    </sheetView>
  </sheetViews>
  <sheetFormatPr defaultColWidth="9.140625" defaultRowHeight="12.75"/>
  <cols>
    <col min="1" max="1" width="29.7109375" style="54" customWidth="1"/>
    <col min="2" max="7" width="10.7109375" style="55" customWidth="1"/>
    <col min="8" max="16384" width="9.140625" style="54" customWidth="1"/>
  </cols>
  <sheetData>
    <row r="2" ht="18">
      <c r="A2" s="23" t="s">
        <v>212</v>
      </c>
    </row>
    <row r="5" spans="2:9" ht="13.5" thickBot="1">
      <c r="B5" s="24" t="s">
        <v>29</v>
      </c>
      <c r="I5" s="54" t="s">
        <v>30</v>
      </c>
    </row>
    <row r="6" spans="1:7" ht="15.75" thickBot="1">
      <c r="A6" s="139" t="s">
        <v>11</v>
      </c>
      <c r="B6" s="140">
        <v>2</v>
      </c>
      <c r="C6" s="141">
        <v>3</v>
      </c>
      <c r="D6" s="141">
        <v>4</v>
      </c>
      <c r="E6" s="141">
        <v>5</v>
      </c>
      <c r="F6" s="141">
        <v>6</v>
      </c>
      <c r="G6" s="142">
        <v>7</v>
      </c>
    </row>
    <row r="7" spans="1:7" ht="13.5" thickBot="1">
      <c r="A7" s="143" t="s">
        <v>12</v>
      </c>
      <c r="B7" s="144">
        <v>125</v>
      </c>
      <c r="C7" s="145">
        <v>250</v>
      </c>
      <c r="D7" s="145">
        <v>500</v>
      </c>
      <c r="E7" s="145">
        <v>1000</v>
      </c>
      <c r="F7" s="145">
        <v>2000</v>
      </c>
      <c r="G7" s="146">
        <v>4000</v>
      </c>
    </row>
    <row r="8" spans="1:29" ht="15.75">
      <c r="A8" s="80" t="s">
        <v>24</v>
      </c>
      <c r="B8" s="81"/>
      <c r="C8" s="82"/>
      <c r="D8" s="82"/>
      <c r="E8" s="82"/>
      <c r="F8" s="82"/>
      <c r="G8" s="83"/>
      <c r="I8" s="54" t="s">
        <v>28</v>
      </c>
      <c r="X8" s="84"/>
      <c r="Y8" s="84"/>
      <c r="Z8" s="84"/>
      <c r="AA8" s="84"/>
      <c r="AB8" s="84"/>
      <c r="AC8" s="85"/>
    </row>
    <row r="9" spans="1:29" ht="15">
      <c r="A9" s="86" t="s">
        <v>26</v>
      </c>
      <c r="B9" s="49">
        <v>-31.6</v>
      </c>
      <c r="C9" s="49">
        <v>-18.9</v>
      </c>
      <c r="D9" s="49">
        <v>-8.5</v>
      </c>
      <c r="E9" s="49">
        <v>-2.2</v>
      </c>
      <c r="F9" s="49">
        <v>1</v>
      </c>
      <c r="G9" s="50">
        <v>3.1</v>
      </c>
      <c r="X9" s="87"/>
      <c r="Y9" s="87"/>
      <c r="Z9" s="87"/>
      <c r="AA9" s="87"/>
      <c r="AB9" s="87"/>
      <c r="AC9" s="33"/>
    </row>
    <row r="10" spans="1:7" ht="13.5" thickBot="1">
      <c r="A10" s="88" t="s">
        <v>27</v>
      </c>
      <c r="B10" s="89">
        <v>1.28</v>
      </c>
      <c r="C10" s="90">
        <v>1.18</v>
      </c>
      <c r="D10" s="90">
        <v>1.09</v>
      </c>
      <c r="E10" s="90">
        <v>1.02</v>
      </c>
      <c r="F10" s="90">
        <v>1</v>
      </c>
      <c r="G10" s="91">
        <v>0.98</v>
      </c>
    </row>
    <row r="11" ht="13.5" thickBot="1"/>
    <row r="12" spans="1:7" ht="16.5" thickBot="1">
      <c r="A12" s="27" t="s">
        <v>41</v>
      </c>
      <c r="B12" s="81"/>
      <c r="C12" s="81"/>
      <c r="D12" s="81"/>
      <c r="E12" s="81"/>
      <c r="F12" s="81"/>
      <c r="G12" s="92"/>
    </row>
    <row r="13" spans="1:9" ht="15.75" thickBot="1">
      <c r="A13" s="135" t="s">
        <v>32</v>
      </c>
      <c r="B13" s="108">
        <v>125</v>
      </c>
      <c r="C13" s="108">
        <v>250</v>
      </c>
      <c r="D13" s="108">
        <v>500</v>
      </c>
      <c r="E13" s="108">
        <v>1000</v>
      </c>
      <c r="F13" s="108">
        <v>2000</v>
      </c>
      <c r="G13" s="109">
        <v>4000</v>
      </c>
      <c r="H13" s="93"/>
      <c r="I13" s="78" t="s">
        <v>37</v>
      </c>
    </row>
    <row r="14" spans="1:10" ht="15">
      <c r="A14" s="136" t="s">
        <v>34</v>
      </c>
      <c r="B14" s="137">
        <v>-0.865</v>
      </c>
      <c r="C14" s="137">
        <v>-0.582</v>
      </c>
      <c r="D14" s="137">
        <v>-0.0121</v>
      </c>
      <c r="E14" s="137">
        <v>0.298</v>
      </c>
      <c r="F14" s="137">
        <v>0.089</v>
      </c>
      <c r="G14" s="138">
        <v>0.0649</v>
      </c>
      <c r="H14" s="94"/>
      <c r="I14" s="78" t="s">
        <v>38</v>
      </c>
      <c r="J14" s="78"/>
    </row>
    <row r="15" spans="1:28" ht="15">
      <c r="A15" s="48" t="s">
        <v>35</v>
      </c>
      <c r="B15" s="49">
        <v>0.723</v>
      </c>
      <c r="C15" s="49">
        <v>0.826</v>
      </c>
      <c r="D15" s="49">
        <v>0.487</v>
      </c>
      <c r="E15" s="49">
        <v>0.513</v>
      </c>
      <c r="F15" s="49">
        <v>0.862</v>
      </c>
      <c r="G15" s="50">
        <v>0.629</v>
      </c>
      <c r="H15" s="94"/>
      <c r="I15" s="78" t="s">
        <v>39</v>
      </c>
      <c r="J15" s="78"/>
      <c r="W15" s="95" t="s">
        <v>25</v>
      </c>
      <c r="X15" s="96"/>
      <c r="Y15" s="96"/>
      <c r="Z15" s="96"/>
      <c r="AA15" s="96"/>
      <c r="AB15" s="97"/>
    </row>
    <row r="16" spans="1:28" ht="15.75" thickBot="1">
      <c r="A16" s="51" t="s">
        <v>36</v>
      </c>
      <c r="B16" s="52">
        <v>0.375</v>
      </c>
      <c r="C16" s="52">
        <v>0.975</v>
      </c>
      <c r="D16" s="52">
        <v>0.868</v>
      </c>
      <c r="E16" s="52">
        <v>0.317</v>
      </c>
      <c r="F16" s="52">
        <v>0</v>
      </c>
      <c r="G16" s="53">
        <v>0</v>
      </c>
      <c r="H16" s="94"/>
      <c r="I16" s="78" t="s">
        <v>40</v>
      </c>
      <c r="J16" s="78"/>
      <c r="W16" s="98">
        <f aca="true" t="shared" si="0" ref="W16:AB16">Q17</f>
        <v>0</v>
      </c>
      <c r="X16" s="99">
        <f t="shared" si="0"/>
        <v>0</v>
      </c>
      <c r="Y16" s="99">
        <f t="shared" si="0"/>
        <v>0</v>
      </c>
      <c r="Z16" s="99">
        <f t="shared" si="0"/>
        <v>0</v>
      </c>
      <c r="AA16" s="99">
        <f t="shared" si="0"/>
        <v>0</v>
      </c>
      <c r="AB16" s="100">
        <f t="shared" si="0"/>
        <v>0</v>
      </c>
    </row>
    <row r="17" spans="1:29" ht="15.75" thickBot="1">
      <c r="A17" s="93"/>
      <c r="B17" s="54"/>
      <c r="C17" s="93"/>
      <c r="D17" s="93"/>
      <c r="E17" s="93"/>
      <c r="F17" s="93"/>
      <c r="G17" s="93"/>
      <c r="X17" s="18"/>
      <c r="Y17" s="18"/>
      <c r="Z17" s="18"/>
      <c r="AA17" s="18"/>
      <c r="AB17" s="18"/>
      <c r="AC17" s="19"/>
    </row>
    <row r="18" ht="13.5" thickBot="1"/>
    <row r="19" spans="1:7" ht="16.5" thickBot="1">
      <c r="A19" s="27" t="s">
        <v>45</v>
      </c>
      <c r="B19" s="81"/>
      <c r="C19" s="81"/>
      <c r="D19" s="81"/>
      <c r="E19" s="81"/>
      <c r="F19" s="81"/>
      <c r="G19" s="92"/>
    </row>
    <row r="20" spans="1:18" ht="15.75" thickBot="1">
      <c r="A20" s="135" t="s">
        <v>32</v>
      </c>
      <c r="B20" s="108">
        <v>125</v>
      </c>
      <c r="C20" s="108">
        <v>250</v>
      </c>
      <c r="D20" s="108">
        <v>500</v>
      </c>
      <c r="E20" s="108">
        <v>1000</v>
      </c>
      <c r="F20" s="108">
        <v>2000</v>
      </c>
      <c r="G20" s="109">
        <v>4000</v>
      </c>
      <c r="I20" s="101" t="s">
        <v>46</v>
      </c>
      <c r="J20" s="101"/>
      <c r="K20" s="101"/>
      <c r="L20" s="102"/>
      <c r="M20" s="102"/>
      <c r="N20" s="102"/>
      <c r="P20" s="102"/>
      <c r="Q20" s="101"/>
      <c r="R20" s="101"/>
    </row>
    <row r="21" spans="1:9" ht="15">
      <c r="A21" s="132" t="s">
        <v>34</v>
      </c>
      <c r="B21" s="285">
        <v>2.601</v>
      </c>
      <c r="C21" s="133">
        <v>-2.023119</v>
      </c>
      <c r="D21" s="133">
        <v>1.533116</v>
      </c>
      <c r="E21" s="285">
        <v>23.452</v>
      </c>
      <c r="F21" s="133">
        <v>26.15493</v>
      </c>
      <c r="G21" s="134">
        <v>25.06003</v>
      </c>
      <c r="I21" s="103" t="s">
        <v>47</v>
      </c>
    </row>
    <row r="22" spans="1:10" ht="12.75">
      <c r="A22" s="38" t="s">
        <v>35</v>
      </c>
      <c r="B22" s="44">
        <v>-0.1250605</v>
      </c>
      <c r="C22" s="44">
        <v>1.276239</v>
      </c>
      <c r="D22" s="44">
        <v>1.407587</v>
      </c>
      <c r="E22" s="44">
        <v>-2.844882</v>
      </c>
      <c r="F22" s="44">
        <v>-2.885191</v>
      </c>
      <c r="G22" s="39">
        <v>-4.0431</v>
      </c>
      <c r="I22" s="286"/>
      <c r="J22" s="54" t="s">
        <v>220</v>
      </c>
    </row>
    <row r="23" spans="1:7" ht="12.75">
      <c r="A23" s="38" t="s">
        <v>36</v>
      </c>
      <c r="B23" s="44">
        <v>-0.006339209</v>
      </c>
      <c r="C23" s="44">
        <v>-0.08211643</v>
      </c>
      <c r="D23" s="44">
        <v>-0.08316611</v>
      </c>
      <c r="E23" s="44">
        <v>0.08517541</v>
      </c>
      <c r="F23" s="44">
        <v>0.08842091</v>
      </c>
      <c r="G23" s="39">
        <v>0.1626905</v>
      </c>
    </row>
    <row r="24" spans="1:7" ht="12.75">
      <c r="A24" s="38" t="s">
        <v>42</v>
      </c>
      <c r="B24" s="44">
        <v>0.4852413</v>
      </c>
      <c r="C24" s="44">
        <v>-0.6914328</v>
      </c>
      <c r="D24" s="44">
        <v>1.948206</v>
      </c>
      <c r="E24" s="44">
        <v>0.8380425</v>
      </c>
      <c r="F24" s="44">
        <v>1.702466</v>
      </c>
      <c r="G24" s="39">
        <v>0.2239686</v>
      </c>
    </row>
    <row r="25" spans="1:7" ht="12.75">
      <c r="A25" s="38" t="s">
        <v>43</v>
      </c>
      <c r="B25" s="44">
        <v>0.07757873</v>
      </c>
      <c r="C25" s="44">
        <v>0.4378392</v>
      </c>
      <c r="D25" s="44">
        <v>0.06271727</v>
      </c>
      <c r="E25" s="44">
        <v>0.3254958</v>
      </c>
      <c r="F25" s="44">
        <v>0.1615714</v>
      </c>
      <c r="G25" s="39">
        <v>0.344374</v>
      </c>
    </row>
    <row r="26" spans="1:7" ht="13.5" thickBot="1">
      <c r="A26" s="35" t="s">
        <v>44</v>
      </c>
      <c r="B26" s="36">
        <v>-0.005221358</v>
      </c>
      <c r="C26" s="36">
        <v>-0.02081597</v>
      </c>
      <c r="D26" s="36">
        <v>-0.005056188</v>
      </c>
      <c r="E26" s="36">
        <v>-0.01468515</v>
      </c>
      <c r="F26" s="36">
        <v>-0.009956212</v>
      </c>
      <c r="G26" s="37">
        <v>-0.020039</v>
      </c>
    </row>
    <row r="28" ht="13.5" thickBot="1"/>
    <row r="29" spans="1:7" ht="16.5" thickBot="1">
      <c r="A29" s="28" t="s">
        <v>105</v>
      </c>
      <c r="B29" s="104"/>
      <c r="C29" s="104"/>
      <c r="D29" s="104"/>
      <c r="E29" s="104"/>
      <c r="F29" s="104"/>
      <c r="G29" s="105"/>
    </row>
    <row r="30" spans="1:7" ht="13.5" thickBot="1">
      <c r="A30" s="106" t="s">
        <v>48</v>
      </c>
      <c r="B30" s="107">
        <v>125</v>
      </c>
      <c r="C30" s="108">
        <v>250</v>
      </c>
      <c r="D30" s="108">
        <v>500</v>
      </c>
      <c r="E30" s="108">
        <v>1000</v>
      </c>
      <c r="F30" s="108">
        <v>2000</v>
      </c>
      <c r="G30" s="109">
        <v>4000</v>
      </c>
    </row>
    <row r="31" spans="1:7" ht="13.5" thickBot="1">
      <c r="A31" s="106" t="s">
        <v>104</v>
      </c>
      <c r="B31" s="157">
        <f aca="true" t="shared" si="1" ref="B31:G31">15*B30/1000</f>
        <v>1.875</v>
      </c>
      <c r="C31" s="158">
        <f t="shared" si="1"/>
        <v>3.75</v>
      </c>
      <c r="D31" s="158">
        <f t="shared" si="1"/>
        <v>7.5</v>
      </c>
      <c r="E31" s="155">
        <f t="shared" si="1"/>
        <v>15</v>
      </c>
      <c r="F31" s="159">
        <f t="shared" si="1"/>
        <v>30</v>
      </c>
      <c r="G31" s="156">
        <f t="shared" si="1"/>
        <v>60</v>
      </c>
    </row>
    <row r="32" spans="1:9" ht="12.75">
      <c r="A32" s="110" t="s">
        <v>51</v>
      </c>
      <c r="B32" s="111">
        <v>1</v>
      </c>
      <c r="C32" s="112">
        <v>6</v>
      </c>
      <c r="D32" s="112">
        <v>6</v>
      </c>
      <c r="E32" s="112">
        <v>11</v>
      </c>
      <c r="F32" s="112">
        <v>10</v>
      </c>
      <c r="G32" s="113">
        <v>10</v>
      </c>
      <c r="I32" s="54" t="s">
        <v>89</v>
      </c>
    </row>
    <row r="33" spans="1:9" ht="12.75">
      <c r="A33" s="114" t="s">
        <v>52</v>
      </c>
      <c r="B33" s="115">
        <v>1</v>
      </c>
      <c r="C33" s="116">
        <v>4</v>
      </c>
      <c r="D33" s="116">
        <v>4</v>
      </c>
      <c r="E33" s="116">
        <v>7</v>
      </c>
      <c r="F33" s="116">
        <v>7</v>
      </c>
      <c r="G33" s="45">
        <v>7</v>
      </c>
      <c r="I33" s="54" t="s">
        <v>103</v>
      </c>
    </row>
    <row r="34" spans="1:7" ht="12.75">
      <c r="A34" s="114" t="s">
        <v>49</v>
      </c>
      <c r="B34" s="115">
        <v>1</v>
      </c>
      <c r="C34" s="116">
        <v>5</v>
      </c>
      <c r="D34" s="116">
        <v>5</v>
      </c>
      <c r="E34" s="116">
        <v>8</v>
      </c>
      <c r="F34" s="116">
        <v>4</v>
      </c>
      <c r="G34" s="45">
        <v>3</v>
      </c>
    </row>
    <row r="35" spans="1:7" ht="13.5" thickBot="1">
      <c r="A35" s="117" t="s">
        <v>50</v>
      </c>
      <c r="B35" s="118">
        <v>1</v>
      </c>
      <c r="C35" s="119">
        <v>2</v>
      </c>
      <c r="D35" s="119">
        <v>2</v>
      </c>
      <c r="E35" s="119">
        <v>3</v>
      </c>
      <c r="F35" s="119">
        <v>3</v>
      </c>
      <c r="G35" s="47">
        <v>3</v>
      </c>
    </row>
    <row r="36" ht="13.5" thickBot="1"/>
    <row r="37" spans="1:11" ht="13.5" thickBot="1">
      <c r="A37" s="54" t="s">
        <v>108</v>
      </c>
      <c r="B37" s="162" t="s">
        <v>82</v>
      </c>
      <c r="C37" s="92"/>
      <c r="D37" s="162" t="s">
        <v>84</v>
      </c>
      <c r="E37" s="92"/>
      <c r="F37" s="163" t="s">
        <v>86</v>
      </c>
      <c r="G37" s="164"/>
      <c r="H37" s="163" t="s">
        <v>87</v>
      </c>
      <c r="I37" s="164"/>
      <c r="K37" s="54" t="s">
        <v>106</v>
      </c>
    </row>
    <row r="38" spans="1:11" ht="15.75" thickBot="1">
      <c r="A38" s="171" t="s">
        <v>107</v>
      </c>
      <c r="B38" s="172" t="s">
        <v>76</v>
      </c>
      <c r="C38" s="173" t="s">
        <v>77</v>
      </c>
      <c r="D38" s="174" t="s">
        <v>76</v>
      </c>
      <c r="E38" s="173" t="s">
        <v>77</v>
      </c>
      <c r="F38" s="174" t="s">
        <v>76</v>
      </c>
      <c r="G38" s="173" t="s">
        <v>77</v>
      </c>
      <c r="H38" s="174" t="s">
        <v>76</v>
      </c>
      <c r="I38" s="173" t="s">
        <v>77</v>
      </c>
      <c r="K38" s="54" t="s">
        <v>109</v>
      </c>
    </row>
    <row r="39" spans="1:9" ht="15">
      <c r="A39" s="167">
        <v>125</v>
      </c>
      <c r="B39" s="168">
        <v>1</v>
      </c>
      <c r="C39" s="169" t="s">
        <v>78</v>
      </c>
      <c r="D39" s="170">
        <v>1</v>
      </c>
      <c r="E39" s="169" t="s">
        <v>78</v>
      </c>
      <c r="F39" s="170">
        <v>1</v>
      </c>
      <c r="G39" s="169" t="s">
        <v>78</v>
      </c>
      <c r="H39" s="170">
        <v>1</v>
      </c>
      <c r="I39" s="169" t="s">
        <v>78</v>
      </c>
    </row>
    <row r="40" spans="1:9" ht="15">
      <c r="A40" s="165">
        <v>250</v>
      </c>
      <c r="B40" s="160">
        <v>6</v>
      </c>
      <c r="C40" s="32" t="s">
        <v>79</v>
      </c>
      <c r="D40" s="31">
        <v>4</v>
      </c>
      <c r="E40" s="32" t="s">
        <v>79</v>
      </c>
      <c r="F40" s="31">
        <v>5</v>
      </c>
      <c r="G40" s="32" t="s">
        <v>79</v>
      </c>
      <c r="H40" s="31">
        <v>2</v>
      </c>
      <c r="I40" s="32" t="s">
        <v>79</v>
      </c>
    </row>
    <row r="41" spans="1:9" ht="15.75" thickBot="1">
      <c r="A41" s="165">
        <v>500</v>
      </c>
      <c r="B41" s="160">
        <v>11</v>
      </c>
      <c r="C41" s="32" t="s">
        <v>80</v>
      </c>
      <c r="D41" s="29">
        <v>7</v>
      </c>
      <c r="E41" s="30" t="s">
        <v>83</v>
      </c>
      <c r="F41" s="31">
        <v>8</v>
      </c>
      <c r="G41" s="32" t="s">
        <v>80</v>
      </c>
      <c r="H41" s="29">
        <v>3</v>
      </c>
      <c r="I41" s="30" t="s">
        <v>88</v>
      </c>
    </row>
    <row r="42" spans="1:7" ht="15.75" thickBot="1">
      <c r="A42" s="165">
        <v>1000</v>
      </c>
      <c r="B42" s="161">
        <v>10</v>
      </c>
      <c r="C42" s="30" t="s">
        <v>83</v>
      </c>
      <c r="F42" s="31">
        <v>4</v>
      </c>
      <c r="G42" s="32" t="s">
        <v>81</v>
      </c>
    </row>
    <row r="43" spans="1:7" ht="15.75" thickBot="1">
      <c r="A43" s="166">
        <v>2000</v>
      </c>
      <c r="F43" s="29">
        <v>3</v>
      </c>
      <c r="G43" s="30" t="s">
        <v>85</v>
      </c>
    </row>
    <row r="45" ht="13.5" thickBot="1"/>
    <row r="46" spans="1:9" ht="16.5" thickBot="1">
      <c r="A46" s="28" t="s">
        <v>53</v>
      </c>
      <c r="B46" s="104"/>
      <c r="C46" s="104"/>
      <c r="D46" s="104"/>
      <c r="E46" s="104"/>
      <c r="F46" s="104"/>
      <c r="G46" s="105"/>
      <c r="I46" s="54" t="s">
        <v>54</v>
      </c>
    </row>
    <row r="47" spans="1:7" ht="13.5" thickBot="1">
      <c r="A47" s="106" t="s">
        <v>48</v>
      </c>
      <c r="B47" s="107">
        <v>125</v>
      </c>
      <c r="C47" s="108">
        <v>250</v>
      </c>
      <c r="D47" s="108">
        <v>500</v>
      </c>
      <c r="E47" s="108">
        <v>1000</v>
      </c>
      <c r="F47" s="108">
        <v>2000</v>
      </c>
      <c r="G47" s="109">
        <v>4000</v>
      </c>
    </row>
    <row r="48" spans="1:7" ht="12.75">
      <c r="A48" s="110" t="s">
        <v>51</v>
      </c>
      <c r="B48" s="111">
        <f aca="true" t="shared" si="2" ref="B48:G49">B32+3</f>
        <v>4</v>
      </c>
      <c r="C48" s="112">
        <f t="shared" si="2"/>
        <v>9</v>
      </c>
      <c r="D48" s="112">
        <f t="shared" si="2"/>
        <v>9</v>
      </c>
      <c r="E48" s="112">
        <f t="shared" si="2"/>
        <v>14</v>
      </c>
      <c r="F48" s="112">
        <f t="shared" si="2"/>
        <v>13</v>
      </c>
      <c r="G48" s="113">
        <f t="shared" si="2"/>
        <v>13</v>
      </c>
    </row>
    <row r="49" spans="1:7" ht="12.75">
      <c r="A49" s="114" t="s">
        <v>52</v>
      </c>
      <c r="B49" s="115">
        <f t="shared" si="2"/>
        <v>4</v>
      </c>
      <c r="C49" s="116">
        <f t="shared" si="2"/>
        <v>7</v>
      </c>
      <c r="D49" s="116">
        <f t="shared" si="2"/>
        <v>7</v>
      </c>
      <c r="E49" s="116">
        <f t="shared" si="2"/>
        <v>10</v>
      </c>
      <c r="F49" s="116">
        <f t="shared" si="2"/>
        <v>10</v>
      </c>
      <c r="G49" s="45">
        <f t="shared" si="2"/>
        <v>10</v>
      </c>
    </row>
    <row r="50" spans="1:7" ht="12.75">
      <c r="A50" s="114" t="s">
        <v>49</v>
      </c>
      <c r="B50" s="115">
        <f aca="true" t="shared" si="3" ref="B50:G50">B34+3</f>
        <v>4</v>
      </c>
      <c r="C50" s="116">
        <f t="shared" si="3"/>
        <v>8</v>
      </c>
      <c r="D50" s="116">
        <f t="shared" si="3"/>
        <v>8</v>
      </c>
      <c r="E50" s="116">
        <f t="shared" si="3"/>
        <v>11</v>
      </c>
      <c r="F50" s="116">
        <f t="shared" si="3"/>
        <v>7</v>
      </c>
      <c r="G50" s="45">
        <f t="shared" si="3"/>
        <v>6</v>
      </c>
    </row>
    <row r="51" spans="1:7" ht="13.5" thickBot="1">
      <c r="A51" s="117" t="s">
        <v>50</v>
      </c>
      <c r="B51" s="118">
        <f aca="true" t="shared" si="4" ref="B51:G51">B35+3</f>
        <v>4</v>
      </c>
      <c r="C51" s="119">
        <f t="shared" si="4"/>
        <v>5</v>
      </c>
      <c r="D51" s="119">
        <f t="shared" si="4"/>
        <v>5</v>
      </c>
      <c r="E51" s="119">
        <f t="shared" si="4"/>
        <v>6</v>
      </c>
      <c r="F51" s="119">
        <f t="shared" si="4"/>
        <v>6</v>
      </c>
      <c r="G51" s="47">
        <f t="shared" si="4"/>
        <v>6</v>
      </c>
    </row>
    <row r="54" spans="1:9" ht="16.5" thickBot="1">
      <c r="A54" s="26" t="s">
        <v>4</v>
      </c>
      <c r="D54" s="121"/>
      <c r="E54" s="121"/>
      <c r="F54" s="121"/>
      <c r="G54" s="121"/>
      <c r="H54" s="121"/>
      <c r="I54" s="101" t="s">
        <v>62</v>
      </c>
    </row>
    <row r="55" spans="2:8" ht="16.5">
      <c r="B55" s="120" t="s">
        <v>199</v>
      </c>
      <c r="C55" s="74">
        <v>1127</v>
      </c>
      <c r="D55" s="275" t="s">
        <v>194</v>
      </c>
      <c r="E55" s="121"/>
      <c r="F55" s="121"/>
      <c r="G55" s="121"/>
      <c r="H55" s="121"/>
    </row>
    <row r="56" spans="2:10" ht="20.25" thickBot="1">
      <c r="B56" s="51" t="s">
        <v>90</v>
      </c>
      <c r="C56" s="37">
        <v>3.14159</v>
      </c>
      <c r="D56" s="121" t="s">
        <v>90</v>
      </c>
      <c r="E56" s="121"/>
      <c r="F56" s="121"/>
      <c r="G56" s="121"/>
      <c r="H56" s="121"/>
      <c r="J56" s="78" t="s">
        <v>217</v>
      </c>
    </row>
    <row r="57" spans="2:10" ht="19.5">
      <c r="B57" s="276" t="s">
        <v>197</v>
      </c>
      <c r="C57" s="129">
        <v>0.7</v>
      </c>
      <c r="D57" s="78" t="s">
        <v>219</v>
      </c>
      <c r="E57" s="121"/>
      <c r="F57" s="121"/>
      <c r="G57" s="121"/>
      <c r="H57" s="121"/>
      <c r="J57" s="122" t="s">
        <v>61</v>
      </c>
    </row>
    <row r="58" spans="2:10" ht="20.25" thickBot="1">
      <c r="B58" s="277" t="s">
        <v>198</v>
      </c>
      <c r="C58" s="37">
        <v>2</v>
      </c>
      <c r="D58" s="78" t="s">
        <v>218</v>
      </c>
      <c r="E58" s="121"/>
      <c r="F58" s="121"/>
      <c r="G58" s="121"/>
      <c r="H58" s="121"/>
      <c r="J58" s="78" t="s">
        <v>195</v>
      </c>
    </row>
    <row r="59" spans="2:9" ht="15">
      <c r="B59" s="273"/>
      <c r="C59" s="274"/>
      <c r="D59" s="121"/>
      <c r="E59" s="121"/>
      <c r="F59" s="121"/>
      <c r="G59" s="121"/>
      <c r="H59" s="121"/>
      <c r="I59" s="122"/>
    </row>
    <row r="60" spans="2:9" ht="15">
      <c r="B60" s="273"/>
      <c r="C60" s="274"/>
      <c r="D60" s="121"/>
      <c r="E60" s="121"/>
      <c r="F60" s="121"/>
      <c r="G60" s="121"/>
      <c r="H60" s="121"/>
      <c r="I60" s="122"/>
    </row>
    <row r="62" spans="1:14" ht="16.5" thickBot="1">
      <c r="A62" s="26" t="s">
        <v>95</v>
      </c>
      <c r="N62" s="54">
        <f>C57*C55</f>
        <v>788.9</v>
      </c>
    </row>
    <row r="63" spans="1:14" ht="16.5" thickBot="1">
      <c r="A63" s="79" t="s">
        <v>91</v>
      </c>
      <c r="B63" s="123"/>
      <c r="C63" s="104"/>
      <c r="D63" s="104"/>
      <c r="E63" s="104"/>
      <c r="F63" s="104"/>
      <c r="G63" s="105"/>
      <c r="H63" s="55"/>
      <c r="I63" s="54" t="s">
        <v>96</v>
      </c>
      <c r="N63" s="54">
        <f>C56*125*10/12</f>
        <v>327.2489583333333</v>
      </c>
    </row>
    <row r="64" spans="1:14" ht="13.5" thickBot="1">
      <c r="A64" s="34" t="s">
        <v>63</v>
      </c>
      <c r="B64" s="75">
        <v>125</v>
      </c>
      <c r="C64" s="76">
        <v>250</v>
      </c>
      <c r="D64" s="76">
        <v>500</v>
      </c>
      <c r="E64" s="76">
        <v>1000</v>
      </c>
      <c r="F64" s="76">
        <v>2000</v>
      </c>
      <c r="G64" s="77">
        <v>4000</v>
      </c>
      <c r="N64" s="54">
        <f>N62/N63</f>
        <v>2.410702860653364</v>
      </c>
    </row>
    <row r="65" spans="1:14" ht="12.75">
      <c r="A65" s="40" t="s">
        <v>201</v>
      </c>
      <c r="B65" s="41">
        <v>16</v>
      </c>
      <c r="C65" s="41">
        <v>18</v>
      </c>
      <c r="D65" s="41">
        <v>20</v>
      </c>
      <c r="E65" s="41">
        <v>26</v>
      </c>
      <c r="F65" s="41">
        <v>31</v>
      </c>
      <c r="G65" s="42">
        <v>36</v>
      </c>
      <c r="N65" s="54">
        <f>N64^C58</f>
        <v>5.811488282362312</v>
      </c>
    </row>
    <row r="66" spans="1:14" ht="12.75">
      <c r="A66" s="43" t="s">
        <v>202</v>
      </c>
      <c r="B66" s="44">
        <v>15</v>
      </c>
      <c r="C66" s="44">
        <v>17</v>
      </c>
      <c r="D66" s="44">
        <v>19</v>
      </c>
      <c r="E66" s="44">
        <v>25</v>
      </c>
      <c r="F66" s="44">
        <v>30</v>
      </c>
      <c r="G66" s="39">
        <v>33</v>
      </c>
      <c r="N66" s="54">
        <f>N65+1</f>
        <v>6.811488282362312</v>
      </c>
    </row>
    <row r="67" spans="1:14" ht="12.75">
      <c r="A67" s="40" t="s">
        <v>203</v>
      </c>
      <c r="B67" s="41">
        <v>16</v>
      </c>
      <c r="C67" s="41">
        <v>15</v>
      </c>
      <c r="D67" s="41">
        <v>17</v>
      </c>
      <c r="E67" s="41">
        <v>17</v>
      </c>
      <c r="F67" s="41">
        <v>18</v>
      </c>
      <c r="G67" s="42">
        <v>19</v>
      </c>
      <c r="N67" s="54">
        <f>LOG10(N66)</f>
        <v>0.833242013851052</v>
      </c>
    </row>
    <row r="68" spans="1:14" ht="12.75">
      <c r="A68" s="43" t="s">
        <v>204</v>
      </c>
      <c r="B68" s="44">
        <v>17</v>
      </c>
      <c r="C68" s="44">
        <v>18</v>
      </c>
      <c r="D68" s="44">
        <v>21</v>
      </c>
      <c r="E68" s="44">
        <v>25</v>
      </c>
      <c r="F68" s="44">
        <v>29</v>
      </c>
      <c r="G68" s="39">
        <v>35</v>
      </c>
      <c r="N68" s="54">
        <f>10*N67</f>
        <v>8.33242013851052</v>
      </c>
    </row>
    <row r="69" spans="1:7" ht="12.75">
      <c r="A69" s="43" t="s">
        <v>205</v>
      </c>
      <c r="B69" s="44">
        <v>17</v>
      </c>
      <c r="C69" s="44">
        <v>18</v>
      </c>
      <c r="D69" s="44">
        <v>22</v>
      </c>
      <c r="E69" s="44">
        <v>27</v>
      </c>
      <c r="F69" s="44">
        <v>32</v>
      </c>
      <c r="G69" s="39">
        <v>39</v>
      </c>
    </row>
    <row r="70" spans="1:7" ht="12.75">
      <c r="A70" s="43" t="s">
        <v>206</v>
      </c>
      <c r="B70" s="44">
        <v>16</v>
      </c>
      <c r="C70" s="44">
        <v>18</v>
      </c>
      <c r="D70" s="44">
        <v>18</v>
      </c>
      <c r="E70" s="44">
        <v>21</v>
      </c>
      <c r="F70" s="44">
        <v>22</v>
      </c>
      <c r="G70" s="39">
        <v>22</v>
      </c>
    </row>
    <row r="71" spans="1:7" ht="12.75">
      <c r="A71" s="40" t="s">
        <v>207</v>
      </c>
      <c r="B71" s="41">
        <v>21</v>
      </c>
      <c r="C71" s="41">
        <v>25</v>
      </c>
      <c r="D71" s="41">
        <v>25</v>
      </c>
      <c r="E71" s="41">
        <v>27</v>
      </c>
      <c r="F71" s="41">
        <v>27</v>
      </c>
      <c r="G71" s="42">
        <v>28</v>
      </c>
    </row>
    <row r="72" spans="1:7" ht="12.75">
      <c r="A72" s="43" t="s">
        <v>208</v>
      </c>
      <c r="B72" s="44">
        <v>23</v>
      </c>
      <c r="C72" s="44">
        <v>27</v>
      </c>
      <c r="D72" s="44">
        <v>27</v>
      </c>
      <c r="E72" s="44">
        <v>29</v>
      </c>
      <c r="F72" s="44">
        <v>29</v>
      </c>
      <c r="G72" s="39">
        <v>30</v>
      </c>
    </row>
    <row r="73" spans="1:7" ht="12.75">
      <c r="A73" s="43" t="s">
        <v>209</v>
      </c>
      <c r="B73" s="44">
        <v>27</v>
      </c>
      <c r="C73" s="44">
        <v>31</v>
      </c>
      <c r="D73" s="44">
        <v>31</v>
      </c>
      <c r="E73" s="44">
        <v>33</v>
      </c>
      <c r="F73" s="44">
        <v>33</v>
      </c>
      <c r="G73" s="39">
        <v>34</v>
      </c>
    </row>
    <row r="74" spans="1:7" ht="12.75">
      <c r="A74" s="43" t="s">
        <v>210</v>
      </c>
      <c r="B74" s="44">
        <v>29</v>
      </c>
      <c r="C74" s="44">
        <v>33</v>
      </c>
      <c r="D74" s="44">
        <v>33</v>
      </c>
      <c r="E74" s="44">
        <v>35</v>
      </c>
      <c r="F74" s="44">
        <v>35</v>
      </c>
      <c r="G74" s="39">
        <v>36</v>
      </c>
    </row>
    <row r="75" spans="1:7" ht="13.5" thickBot="1">
      <c r="A75" s="46" t="s">
        <v>211</v>
      </c>
      <c r="B75" s="36">
        <v>23</v>
      </c>
      <c r="C75" s="36">
        <v>24</v>
      </c>
      <c r="D75" s="36">
        <v>24</v>
      </c>
      <c r="E75" s="36">
        <v>29</v>
      </c>
      <c r="F75" s="36">
        <v>33</v>
      </c>
      <c r="G75" s="37">
        <v>34</v>
      </c>
    </row>
    <row r="79" spans="1:10" ht="15">
      <c r="A79" s="147"/>
      <c r="B79" s="148"/>
      <c r="C79" s="148"/>
      <c r="D79" s="148"/>
      <c r="E79" s="148"/>
      <c r="F79" s="148"/>
      <c r="G79" s="148"/>
      <c r="H79" s="101"/>
      <c r="I79" s="124"/>
      <c r="J79" s="125"/>
    </row>
    <row r="80" spans="1:10" ht="15">
      <c r="A80" s="147"/>
      <c r="B80" s="148"/>
      <c r="C80" s="148"/>
      <c r="D80" s="148"/>
      <c r="E80" s="148"/>
      <c r="F80" s="148"/>
      <c r="G80" s="148"/>
      <c r="H80" s="101"/>
      <c r="I80" s="124"/>
      <c r="J80" s="125"/>
    </row>
    <row r="81" spans="1:10" ht="15.75" thickBot="1">
      <c r="A81" s="147"/>
      <c r="B81" s="148"/>
      <c r="C81" s="148"/>
      <c r="D81" s="148"/>
      <c r="E81" s="148"/>
      <c r="F81" s="148"/>
      <c r="G81" s="148"/>
      <c r="H81" s="101"/>
      <c r="J81" s="125"/>
    </row>
    <row r="82" spans="1:11" ht="16.5" thickBot="1">
      <c r="A82" s="126" t="s">
        <v>64</v>
      </c>
      <c r="B82" s="127"/>
      <c r="C82" s="54"/>
      <c r="D82" s="54"/>
      <c r="E82" s="54"/>
      <c r="F82" s="54"/>
      <c r="G82" s="54"/>
      <c r="I82" s="149" t="s">
        <v>94</v>
      </c>
      <c r="K82" s="101"/>
    </row>
    <row r="83" spans="1:11" ht="15">
      <c r="A83" s="128" t="s">
        <v>65</v>
      </c>
      <c r="B83" s="129">
        <v>10</v>
      </c>
      <c r="C83" s="54"/>
      <c r="D83" s="54"/>
      <c r="E83" s="54"/>
      <c r="F83" s="54"/>
      <c r="G83" s="54"/>
      <c r="I83" s="103" t="s">
        <v>93</v>
      </c>
      <c r="J83" s="102"/>
      <c r="K83" s="101"/>
    </row>
    <row r="84" spans="1:11" ht="15">
      <c r="A84" s="130" t="s">
        <v>66</v>
      </c>
      <c r="B84" s="50">
        <v>5</v>
      </c>
      <c r="E84" s="54"/>
      <c r="I84" s="102"/>
      <c r="J84" s="102"/>
      <c r="K84" s="101"/>
    </row>
    <row r="85" spans="1:13" ht="15">
      <c r="A85" s="130" t="s">
        <v>67</v>
      </c>
      <c r="B85" s="50">
        <v>3</v>
      </c>
      <c r="E85" s="54"/>
      <c r="J85" s="102"/>
      <c r="K85" s="101"/>
      <c r="M85" s="101"/>
    </row>
    <row r="86" spans="1:13" ht="15.75" thickBot="1">
      <c r="A86" s="131" t="s">
        <v>33</v>
      </c>
      <c r="B86" s="53">
        <v>25</v>
      </c>
      <c r="E86" s="54"/>
      <c r="J86" s="102"/>
      <c r="K86" s="102"/>
      <c r="M86" s="101"/>
    </row>
    <row r="87" spans="5:13" ht="15">
      <c r="E87" s="54"/>
      <c r="M87" s="101"/>
    </row>
    <row r="88" spans="2:13" ht="15">
      <c r="B88" s="54"/>
      <c r="E88" s="54"/>
      <c r="M88" s="101"/>
    </row>
    <row r="89" spans="1:13" ht="16.5" thickBot="1">
      <c r="A89" s="26" t="s">
        <v>31</v>
      </c>
      <c r="B89" s="54"/>
      <c r="C89" s="54"/>
      <c r="D89" s="54"/>
      <c r="E89" s="54"/>
      <c r="F89" s="54"/>
      <c r="G89" s="54"/>
      <c r="M89" s="101"/>
    </row>
    <row r="90" spans="1:13" ht="16.5" thickBot="1">
      <c r="A90" s="154" t="s">
        <v>102</v>
      </c>
      <c r="B90" s="75">
        <v>125</v>
      </c>
      <c r="C90" s="76">
        <v>250</v>
      </c>
      <c r="D90" s="76">
        <v>500</v>
      </c>
      <c r="E90" s="76">
        <v>1000</v>
      </c>
      <c r="F90" s="76">
        <v>2000</v>
      </c>
      <c r="G90" s="77">
        <v>4000</v>
      </c>
      <c r="M90" s="101"/>
    </row>
    <row r="91" spans="1:13" ht="15">
      <c r="A91" s="153" t="s">
        <v>23</v>
      </c>
      <c r="B91" s="49">
        <v>3</v>
      </c>
      <c r="C91" s="49">
        <v>2</v>
      </c>
      <c r="D91" s="49">
        <v>1</v>
      </c>
      <c r="E91" s="49">
        <v>1</v>
      </c>
      <c r="F91" s="49">
        <v>1</v>
      </c>
      <c r="G91" s="50">
        <v>1</v>
      </c>
      <c r="M91" s="101"/>
    </row>
    <row r="92" spans="1:13" ht="15.75" thickBot="1">
      <c r="A92" s="131" t="s">
        <v>92</v>
      </c>
      <c r="B92" s="52">
        <v>2</v>
      </c>
      <c r="C92" s="52">
        <v>1</v>
      </c>
      <c r="D92" s="52">
        <v>0</v>
      </c>
      <c r="E92" s="52">
        <v>0</v>
      </c>
      <c r="F92" s="52">
        <v>0</v>
      </c>
      <c r="G92" s="53">
        <v>0</v>
      </c>
      <c r="M92" s="101"/>
    </row>
    <row r="93" spans="2:13" ht="15">
      <c r="B93" s="54"/>
      <c r="C93" s="54"/>
      <c r="D93" s="54"/>
      <c r="E93" s="54"/>
      <c r="F93" s="54"/>
      <c r="G93" s="54"/>
      <c r="M93" s="101"/>
    </row>
    <row r="94" spans="2:13" ht="15">
      <c r="B94" s="54"/>
      <c r="C94" s="54"/>
      <c r="D94" s="54"/>
      <c r="E94" s="54"/>
      <c r="F94" s="54"/>
      <c r="G94" s="54"/>
      <c r="M94" s="101"/>
    </row>
    <row r="95" spans="2:13" ht="15">
      <c r="B95" s="54"/>
      <c r="C95" s="54"/>
      <c r="D95" s="54"/>
      <c r="E95" s="54"/>
      <c r="F95" s="54"/>
      <c r="G95" s="54"/>
      <c r="M95" s="101"/>
    </row>
    <row r="96" spans="2:13" ht="15">
      <c r="B96" s="54"/>
      <c r="C96" s="54"/>
      <c r="D96" s="54"/>
      <c r="E96" s="54"/>
      <c r="F96" s="54"/>
      <c r="G96" s="54"/>
      <c r="M96" s="101"/>
    </row>
    <row r="97" spans="3:13" ht="15">
      <c r="C97" s="54"/>
      <c r="D97" s="54"/>
      <c r="E97" s="54"/>
      <c r="F97" s="54"/>
      <c r="G97" s="54"/>
      <c r="M97" s="101"/>
    </row>
  </sheetData>
  <sheetProtection sheet="1" objects="1" scenarios="1"/>
  <printOptions/>
  <pageMargins left="0.75" right="0.75" top="1" bottom="1" header="0.5" footer="0.5"/>
  <pageSetup horizontalDpi="1200" verticalDpi="12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6"/>
  <sheetViews>
    <sheetView workbookViewId="0" topLeftCell="A1">
      <selection activeCell="K5" sqref="K5"/>
    </sheetView>
  </sheetViews>
  <sheetFormatPr defaultColWidth="9.140625" defaultRowHeight="12.75"/>
  <sheetData>
    <row r="1" spans="1:6" ht="12.75">
      <c r="A1" t="s">
        <v>123</v>
      </c>
      <c r="F1" t="s">
        <v>124</v>
      </c>
    </row>
    <row r="2" spans="1:6" ht="12.75">
      <c r="A2" t="s">
        <v>125</v>
      </c>
      <c r="F2" t="s">
        <v>62</v>
      </c>
    </row>
    <row r="3" spans="1:6" ht="12.75">
      <c r="A3" t="s">
        <v>126</v>
      </c>
      <c r="B3" t="s">
        <v>62</v>
      </c>
      <c r="F3" t="s">
        <v>127</v>
      </c>
    </row>
    <row r="4" ht="12.75"/>
    <row r="5" spans="3:6" ht="12.75">
      <c r="C5">
        <v>-2</v>
      </c>
      <c r="F5">
        <v>50</v>
      </c>
    </row>
    <row r="6" spans="3:6" ht="12.75">
      <c r="C6">
        <v>-1</v>
      </c>
      <c r="F6">
        <v>45</v>
      </c>
    </row>
    <row r="7" spans="2:6" ht="12.75">
      <c r="B7">
        <v>32</v>
      </c>
      <c r="C7">
        <v>0</v>
      </c>
      <c r="E7">
        <v>0</v>
      </c>
      <c r="F7">
        <v>40</v>
      </c>
    </row>
    <row r="8" spans="1:6" ht="12.75">
      <c r="A8" t="s">
        <v>128</v>
      </c>
      <c r="B8">
        <v>63</v>
      </c>
      <c r="C8">
        <v>1</v>
      </c>
      <c r="D8">
        <v>47</v>
      </c>
      <c r="E8">
        <v>1</v>
      </c>
      <c r="F8">
        <v>35</v>
      </c>
    </row>
    <row r="9" spans="2:6" ht="12.75">
      <c r="B9">
        <v>125</v>
      </c>
      <c r="C9">
        <v>2</v>
      </c>
      <c r="D9">
        <v>36</v>
      </c>
      <c r="E9">
        <v>2</v>
      </c>
      <c r="F9">
        <v>30</v>
      </c>
    </row>
    <row r="10" spans="2:6" ht="12.75">
      <c r="B10">
        <v>250</v>
      </c>
      <c r="C10">
        <v>3</v>
      </c>
      <c r="D10">
        <v>29</v>
      </c>
      <c r="E10">
        <v>3</v>
      </c>
      <c r="F10">
        <v>25</v>
      </c>
    </row>
    <row r="11" spans="2:6" ht="12.75">
      <c r="B11">
        <v>500</v>
      </c>
      <c r="C11">
        <v>4</v>
      </c>
      <c r="D11">
        <v>22</v>
      </c>
      <c r="E11">
        <v>4</v>
      </c>
      <c r="F11">
        <v>20</v>
      </c>
    </row>
    <row r="12" spans="2:6" ht="12.75">
      <c r="B12">
        <v>1000</v>
      </c>
      <c r="C12">
        <v>5</v>
      </c>
      <c r="D12">
        <v>17</v>
      </c>
      <c r="E12">
        <v>5</v>
      </c>
      <c r="F12">
        <v>15</v>
      </c>
    </row>
    <row r="13" spans="2:6" ht="12.75">
      <c r="B13">
        <v>2000</v>
      </c>
      <c r="C13">
        <v>6</v>
      </c>
      <c r="D13">
        <v>14</v>
      </c>
      <c r="E13">
        <v>6</v>
      </c>
      <c r="F13">
        <v>10</v>
      </c>
    </row>
    <row r="14" spans="2:6" ht="12.75">
      <c r="B14">
        <v>4000</v>
      </c>
      <c r="C14">
        <v>7</v>
      </c>
      <c r="D14">
        <v>12</v>
      </c>
      <c r="E14">
        <v>7</v>
      </c>
      <c r="F14">
        <v>5</v>
      </c>
    </row>
    <row r="15" spans="3:6" ht="12.75">
      <c r="C15">
        <v>8</v>
      </c>
      <c r="F15">
        <v>0</v>
      </c>
    </row>
    <row r="16" spans="3:4" ht="12.75"/>
    <row r="17" spans="3:6" ht="12.75">
      <c r="C17">
        <v>-1</v>
      </c>
      <c r="F17">
        <v>50</v>
      </c>
    </row>
    <row r="18" spans="2:6" ht="12.75">
      <c r="B18">
        <v>32</v>
      </c>
      <c r="C18">
        <v>0</v>
      </c>
      <c r="F18">
        <v>45</v>
      </c>
    </row>
    <row r="19" spans="1:6" ht="12.75">
      <c r="A19" t="s">
        <v>129</v>
      </c>
      <c r="B19">
        <v>63</v>
      </c>
      <c r="C19">
        <v>1</v>
      </c>
      <c r="D19">
        <v>51</v>
      </c>
      <c r="F19">
        <v>40</v>
      </c>
    </row>
    <row r="20" spans="2:6" ht="12.75">
      <c r="B20">
        <v>125</v>
      </c>
      <c r="C20">
        <v>2</v>
      </c>
      <c r="D20">
        <v>40</v>
      </c>
      <c r="F20">
        <v>35</v>
      </c>
    </row>
    <row r="21" spans="2:6" ht="12.75">
      <c r="B21">
        <v>250</v>
      </c>
      <c r="C21">
        <v>3</v>
      </c>
      <c r="D21">
        <v>33</v>
      </c>
      <c r="F21">
        <v>30</v>
      </c>
    </row>
    <row r="22" spans="2:6" ht="12.75">
      <c r="B22">
        <v>500</v>
      </c>
      <c r="C22">
        <v>4</v>
      </c>
      <c r="D22">
        <v>26</v>
      </c>
      <c r="F22">
        <v>25</v>
      </c>
    </row>
    <row r="23" spans="2:6" ht="12.75">
      <c r="B23">
        <v>1000</v>
      </c>
      <c r="C23">
        <v>5</v>
      </c>
      <c r="D23">
        <v>22</v>
      </c>
      <c r="F23">
        <v>20</v>
      </c>
    </row>
    <row r="24" spans="2:6" ht="12.75">
      <c r="B24">
        <v>2000</v>
      </c>
      <c r="C24">
        <v>6</v>
      </c>
      <c r="D24">
        <v>19</v>
      </c>
      <c r="F24">
        <v>15</v>
      </c>
    </row>
    <row r="25" spans="2:6" ht="12.75">
      <c r="B25">
        <v>4000</v>
      </c>
      <c r="C25">
        <v>7</v>
      </c>
      <c r="D25">
        <v>17</v>
      </c>
      <c r="F25">
        <v>10</v>
      </c>
    </row>
    <row r="26" spans="3:6" ht="12.75">
      <c r="C26">
        <v>8</v>
      </c>
      <c r="F26">
        <v>5</v>
      </c>
    </row>
    <row r="27" spans="3:4" ht="12.75"/>
    <row r="28" spans="3:6" ht="12.75">
      <c r="C28">
        <v>-1</v>
      </c>
      <c r="F28">
        <v>55</v>
      </c>
    </row>
    <row r="29" spans="2:6" ht="12.75">
      <c r="B29">
        <v>32</v>
      </c>
      <c r="C29">
        <v>0</v>
      </c>
      <c r="F29">
        <v>50</v>
      </c>
    </row>
    <row r="30" spans="1:6" ht="12.75">
      <c r="A30" t="s">
        <v>130</v>
      </c>
      <c r="B30">
        <v>63</v>
      </c>
      <c r="C30">
        <v>1</v>
      </c>
      <c r="D30">
        <v>54</v>
      </c>
      <c r="F30">
        <v>45</v>
      </c>
    </row>
    <row r="31" spans="2:6" ht="12.75">
      <c r="B31">
        <v>125</v>
      </c>
      <c r="C31">
        <v>2</v>
      </c>
      <c r="D31">
        <v>44</v>
      </c>
      <c r="F31">
        <v>40</v>
      </c>
    </row>
    <row r="32" spans="2:6" ht="12.75">
      <c r="B32">
        <v>250</v>
      </c>
      <c r="C32">
        <v>3</v>
      </c>
      <c r="D32">
        <v>37</v>
      </c>
      <c r="F32">
        <v>35</v>
      </c>
    </row>
    <row r="33" spans="2:6" ht="12.75">
      <c r="B33">
        <v>500</v>
      </c>
      <c r="C33">
        <v>4</v>
      </c>
      <c r="D33">
        <v>31</v>
      </c>
      <c r="F33">
        <v>30</v>
      </c>
    </row>
    <row r="34" spans="2:6" ht="12.75">
      <c r="B34">
        <v>1000</v>
      </c>
      <c r="C34">
        <v>5</v>
      </c>
      <c r="D34">
        <v>27</v>
      </c>
      <c r="F34">
        <v>25</v>
      </c>
    </row>
    <row r="35" spans="2:6" ht="12.75">
      <c r="B35">
        <v>2000</v>
      </c>
      <c r="C35">
        <v>6</v>
      </c>
      <c r="D35">
        <v>24</v>
      </c>
      <c r="F35">
        <v>20</v>
      </c>
    </row>
    <row r="36" spans="2:6" ht="12.75">
      <c r="B36">
        <v>4000</v>
      </c>
      <c r="C36">
        <v>7</v>
      </c>
      <c r="D36">
        <v>22</v>
      </c>
      <c r="F36">
        <v>15</v>
      </c>
    </row>
    <row r="37" spans="3:6" ht="12.75">
      <c r="C37">
        <v>8</v>
      </c>
      <c r="F37">
        <v>10</v>
      </c>
    </row>
    <row r="38" spans="3:4" ht="12.75"/>
    <row r="39" spans="3:6" ht="12.75">
      <c r="C39">
        <v>-1</v>
      </c>
      <c r="F39">
        <v>60</v>
      </c>
    </row>
    <row r="40" spans="3:6" ht="12.75">
      <c r="C40">
        <v>0</v>
      </c>
      <c r="F40">
        <v>55</v>
      </c>
    </row>
    <row r="41" spans="1:6" ht="12.75">
      <c r="A41" t="s">
        <v>131</v>
      </c>
      <c r="B41">
        <v>63</v>
      </c>
      <c r="C41">
        <v>1</v>
      </c>
      <c r="D41">
        <v>57</v>
      </c>
      <c r="F41">
        <v>50</v>
      </c>
    </row>
    <row r="42" spans="2:6" ht="12.75">
      <c r="B42">
        <v>125</v>
      </c>
      <c r="C42">
        <v>2</v>
      </c>
      <c r="D42">
        <v>48</v>
      </c>
      <c r="F42">
        <v>45</v>
      </c>
    </row>
    <row r="43" spans="2:6" ht="12.75">
      <c r="B43">
        <v>250</v>
      </c>
      <c r="C43">
        <v>3</v>
      </c>
      <c r="D43">
        <v>41</v>
      </c>
      <c r="F43">
        <v>40</v>
      </c>
    </row>
    <row r="44" spans="2:6" ht="12.75">
      <c r="B44">
        <v>500</v>
      </c>
      <c r="C44">
        <v>4</v>
      </c>
      <c r="D44">
        <v>35</v>
      </c>
      <c r="F44">
        <v>35</v>
      </c>
    </row>
    <row r="45" spans="2:6" ht="12.75">
      <c r="B45">
        <v>1000</v>
      </c>
      <c r="C45">
        <v>5</v>
      </c>
      <c r="D45">
        <v>31</v>
      </c>
      <c r="F45">
        <v>30</v>
      </c>
    </row>
    <row r="46" spans="2:6" ht="12.75">
      <c r="B46">
        <v>2000</v>
      </c>
      <c r="C46">
        <v>6</v>
      </c>
      <c r="D46">
        <v>29</v>
      </c>
      <c r="F46">
        <v>25</v>
      </c>
    </row>
    <row r="47" spans="2:6" ht="12.75">
      <c r="B47">
        <v>4000</v>
      </c>
      <c r="C47">
        <v>7</v>
      </c>
      <c r="D47">
        <v>28</v>
      </c>
      <c r="F47">
        <v>20</v>
      </c>
    </row>
    <row r="48" spans="3:6" ht="12.75">
      <c r="C48">
        <v>8</v>
      </c>
      <c r="F48">
        <v>15</v>
      </c>
    </row>
    <row r="49" spans="3:4" ht="12.75"/>
    <row r="50" spans="3:6" ht="12.75">
      <c r="C50">
        <v>-1</v>
      </c>
      <c r="F50">
        <v>65</v>
      </c>
    </row>
    <row r="51" spans="3:6" ht="12.75">
      <c r="C51">
        <v>0</v>
      </c>
      <c r="F51">
        <v>60</v>
      </c>
    </row>
    <row r="52" spans="1:6" ht="12.75">
      <c r="A52" t="s">
        <v>132</v>
      </c>
      <c r="B52">
        <v>63</v>
      </c>
      <c r="C52">
        <v>1</v>
      </c>
      <c r="D52">
        <v>60</v>
      </c>
      <c r="F52">
        <v>55</v>
      </c>
    </row>
    <row r="53" spans="2:6" ht="12.75">
      <c r="B53">
        <v>125</v>
      </c>
      <c r="C53">
        <v>2</v>
      </c>
      <c r="D53">
        <v>52</v>
      </c>
      <c r="F53">
        <v>50</v>
      </c>
    </row>
    <row r="54" spans="2:6" ht="12.75">
      <c r="B54">
        <v>250</v>
      </c>
      <c r="C54">
        <v>3</v>
      </c>
      <c r="D54">
        <v>45</v>
      </c>
      <c r="F54">
        <v>45</v>
      </c>
    </row>
    <row r="55" spans="2:6" ht="12.75">
      <c r="B55">
        <v>500</v>
      </c>
      <c r="C55">
        <v>4</v>
      </c>
      <c r="D55">
        <v>40</v>
      </c>
      <c r="F55">
        <v>40</v>
      </c>
    </row>
    <row r="56" spans="2:6" ht="12.75">
      <c r="B56">
        <v>1000</v>
      </c>
      <c r="C56">
        <v>5</v>
      </c>
      <c r="D56">
        <v>36</v>
      </c>
      <c r="F56">
        <v>35</v>
      </c>
    </row>
    <row r="57" spans="2:6" ht="12.75">
      <c r="B57">
        <v>2000</v>
      </c>
      <c r="C57">
        <v>6</v>
      </c>
      <c r="D57">
        <v>34</v>
      </c>
      <c r="F57">
        <v>30</v>
      </c>
    </row>
    <row r="58" spans="2:6" ht="12.75">
      <c r="B58">
        <v>4000</v>
      </c>
      <c r="C58">
        <v>7</v>
      </c>
      <c r="D58">
        <v>33</v>
      </c>
      <c r="F58">
        <v>25</v>
      </c>
    </row>
    <row r="59" spans="3:6" ht="12.75">
      <c r="C59">
        <v>8</v>
      </c>
      <c r="F59">
        <v>20</v>
      </c>
    </row>
    <row r="60" spans="3:4" ht="12.75"/>
    <row r="61" spans="3:6" ht="12.75">
      <c r="C61">
        <v>-1</v>
      </c>
      <c r="F61">
        <v>70</v>
      </c>
    </row>
    <row r="62" spans="3:6" ht="12.75">
      <c r="C62">
        <v>0</v>
      </c>
      <c r="F62">
        <v>65</v>
      </c>
    </row>
    <row r="63" spans="1:6" ht="12.75">
      <c r="A63" t="s">
        <v>133</v>
      </c>
      <c r="B63">
        <v>63</v>
      </c>
      <c r="C63">
        <v>1</v>
      </c>
      <c r="D63">
        <v>64</v>
      </c>
      <c r="F63">
        <v>60</v>
      </c>
    </row>
    <row r="64" spans="2:6" ht="12.75">
      <c r="B64">
        <v>125</v>
      </c>
      <c r="C64">
        <v>2</v>
      </c>
      <c r="D64">
        <v>56</v>
      </c>
      <c r="F64">
        <v>55</v>
      </c>
    </row>
    <row r="65" spans="2:6" ht="12.75">
      <c r="B65">
        <v>250</v>
      </c>
      <c r="C65">
        <v>3</v>
      </c>
      <c r="D65">
        <v>50</v>
      </c>
      <c r="F65">
        <v>50</v>
      </c>
    </row>
    <row r="66" spans="2:6" ht="12.75">
      <c r="B66">
        <v>500</v>
      </c>
      <c r="C66">
        <v>4</v>
      </c>
      <c r="D66">
        <v>45</v>
      </c>
      <c r="F66">
        <v>45</v>
      </c>
    </row>
    <row r="67" spans="2:6" ht="12.75">
      <c r="B67">
        <v>1000</v>
      </c>
      <c r="C67">
        <v>5</v>
      </c>
      <c r="D67">
        <v>41</v>
      </c>
      <c r="F67">
        <v>40</v>
      </c>
    </row>
    <row r="68" spans="2:6" ht="12.75">
      <c r="B68">
        <v>2000</v>
      </c>
      <c r="C68">
        <v>6</v>
      </c>
      <c r="D68">
        <v>39</v>
      </c>
      <c r="F68">
        <v>35</v>
      </c>
    </row>
    <row r="69" spans="2:6" ht="12.75">
      <c r="B69">
        <v>4000</v>
      </c>
      <c r="C69">
        <v>7</v>
      </c>
      <c r="D69">
        <v>38</v>
      </c>
      <c r="F69">
        <v>30</v>
      </c>
    </row>
    <row r="70" spans="3:6" ht="12.75">
      <c r="C70">
        <v>8</v>
      </c>
      <c r="F70">
        <v>25</v>
      </c>
    </row>
    <row r="71" spans="3:4" ht="12.75"/>
    <row r="72" spans="3:6" ht="12.75">
      <c r="C72">
        <v>-1</v>
      </c>
      <c r="F72">
        <v>75</v>
      </c>
    </row>
    <row r="73" spans="3:6" ht="12.75">
      <c r="C73">
        <v>0</v>
      </c>
      <c r="F73">
        <v>70</v>
      </c>
    </row>
    <row r="74" spans="1:6" ht="12.75">
      <c r="A74" t="s">
        <v>134</v>
      </c>
      <c r="B74">
        <v>63</v>
      </c>
      <c r="C74">
        <v>1</v>
      </c>
      <c r="D74">
        <v>67</v>
      </c>
      <c r="F74">
        <v>65</v>
      </c>
    </row>
    <row r="75" spans="2:6" ht="12.75">
      <c r="B75">
        <v>125</v>
      </c>
      <c r="C75">
        <v>2</v>
      </c>
      <c r="D75">
        <v>60</v>
      </c>
      <c r="F75">
        <v>60</v>
      </c>
    </row>
    <row r="76" spans="2:6" ht="12.75">
      <c r="B76">
        <v>250</v>
      </c>
      <c r="C76">
        <v>3</v>
      </c>
      <c r="D76">
        <v>54</v>
      </c>
      <c r="F76">
        <v>55</v>
      </c>
    </row>
    <row r="77" spans="2:6" ht="12.75">
      <c r="B77">
        <v>500</v>
      </c>
      <c r="C77">
        <v>4</v>
      </c>
      <c r="D77">
        <v>49</v>
      </c>
      <c r="F77">
        <v>50</v>
      </c>
    </row>
    <row r="78" spans="2:6" ht="12.75">
      <c r="B78">
        <v>1000</v>
      </c>
      <c r="C78">
        <v>5</v>
      </c>
      <c r="D78">
        <v>46</v>
      </c>
      <c r="F78">
        <v>45</v>
      </c>
    </row>
    <row r="79" spans="2:6" ht="12.75">
      <c r="B79">
        <v>2000</v>
      </c>
      <c r="C79">
        <v>6</v>
      </c>
      <c r="D79">
        <v>44</v>
      </c>
      <c r="F79">
        <v>40</v>
      </c>
    </row>
    <row r="80" spans="2:6" ht="12.75">
      <c r="B80">
        <v>4000</v>
      </c>
      <c r="C80">
        <v>7</v>
      </c>
      <c r="D80">
        <v>43</v>
      </c>
      <c r="F80">
        <v>35</v>
      </c>
    </row>
    <row r="81" spans="3:6" ht="12.75">
      <c r="C81">
        <v>8</v>
      </c>
      <c r="F81">
        <v>30</v>
      </c>
    </row>
    <row r="82" spans="3:4" ht="12.75"/>
    <row r="83" spans="3:6" ht="12.75">
      <c r="C83">
        <v>-1</v>
      </c>
      <c r="F83">
        <v>80</v>
      </c>
    </row>
    <row r="84" spans="3:6" ht="12.75">
      <c r="C84">
        <v>0</v>
      </c>
      <c r="F84">
        <v>75</v>
      </c>
    </row>
    <row r="85" spans="1:6" ht="12.75">
      <c r="A85" t="s">
        <v>135</v>
      </c>
      <c r="B85">
        <v>63</v>
      </c>
      <c r="C85">
        <v>1</v>
      </c>
      <c r="D85">
        <v>71</v>
      </c>
      <c r="F85">
        <v>70</v>
      </c>
    </row>
    <row r="86" spans="2:6" ht="12.75">
      <c r="B86">
        <v>125</v>
      </c>
      <c r="C86">
        <v>2</v>
      </c>
      <c r="D86">
        <v>64</v>
      </c>
      <c r="F86">
        <v>65</v>
      </c>
    </row>
    <row r="87" spans="2:6" ht="12.75">
      <c r="B87">
        <v>250</v>
      </c>
      <c r="C87">
        <v>3</v>
      </c>
      <c r="D87">
        <v>58</v>
      </c>
      <c r="F87">
        <v>60</v>
      </c>
    </row>
    <row r="88" spans="2:6" ht="12.75">
      <c r="B88">
        <v>500</v>
      </c>
      <c r="C88">
        <v>4</v>
      </c>
      <c r="D88">
        <v>54</v>
      </c>
      <c r="F88">
        <v>55</v>
      </c>
    </row>
    <row r="89" spans="2:6" ht="12.75">
      <c r="B89">
        <v>1000</v>
      </c>
      <c r="C89">
        <v>5</v>
      </c>
      <c r="D89">
        <v>51</v>
      </c>
      <c r="F89">
        <v>50</v>
      </c>
    </row>
    <row r="90" spans="2:6" ht="12.75">
      <c r="B90">
        <v>2000</v>
      </c>
      <c r="C90">
        <v>6</v>
      </c>
      <c r="D90">
        <v>49</v>
      </c>
      <c r="F90">
        <v>45</v>
      </c>
    </row>
    <row r="91" spans="2:6" ht="12.75">
      <c r="B91">
        <v>4000</v>
      </c>
      <c r="C91">
        <v>7</v>
      </c>
      <c r="D91">
        <v>48</v>
      </c>
      <c r="F91">
        <v>40</v>
      </c>
    </row>
    <row r="92" spans="3:6" ht="12.75">
      <c r="C92">
        <v>8</v>
      </c>
      <c r="F92">
        <v>35</v>
      </c>
    </row>
    <row r="93" spans="3:4" ht="12.75"/>
    <row r="94" spans="3:6" ht="12.75">
      <c r="C94">
        <v>-1</v>
      </c>
      <c r="F94">
        <v>85</v>
      </c>
    </row>
    <row r="95" spans="3:6" ht="12.75">
      <c r="C95">
        <v>0</v>
      </c>
      <c r="F95">
        <v>80</v>
      </c>
    </row>
    <row r="96" spans="1:6" ht="12.75">
      <c r="A96" t="s">
        <v>136</v>
      </c>
      <c r="B96">
        <v>63</v>
      </c>
      <c r="C96">
        <v>1</v>
      </c>
      <c r="D96">
        <v>74</v>
      </c>
      <c r="F96">
        <v>75</v>
      </c>
    </row>
    <row r="97" spans="2:6" ht="12.75">
      <c r="B97">
        <v>125</v>
      </c>
      <c r="C97">
        <v>2</v>
      </c>
      <c r="D97">
        <v>67</v>
      </c>
      <c r="F97">
        <v>70</v>
      </c>
    </row>
    <row r="98" spans="2:6" ht="12.75">
      <c r="B98">
        <v>250</v>
      </c>
      <c r="C98">
        <v>3</v>
      </c>
      <c r="D98">
        <v>62</v>
      </c>
      <c r="F98">
        <v>65</v>
      </c>
    </row>
    <row r="99" spans="2:6" ht="12.75">
      <c r="B99">
        <v>500</v>
      </c>
      <c r="C99">
        <v>4</v>
      </c>
      <c r="D99">
        <v>58</v>
      </c>
      <c r="F99">
        <v>60</v>
      </c>
    </row>
    <row r="100" spans="2:6" ht="12.75">
      <c r="B100">
        <v>1000</v>
      </c>
      <c r="C100">
        <v>5</v>
      </c>
      <c r="D100">
        <v>56</v>
      </c>
      <c r="F100">
        <v>55</v>
      </c>
    </row>
    <row r="101" spans="2:6" ht="12.75">
      <c r="B101">
        <v>2000</v>
      </c>
      <c r="C101">
        <v>6</v>
      </c>
      <c r="D101">
        <v>54</v>
      </c>
      <c r="F101">
        <v>50</v>
      </c>
    </row>
    <row r="102" spans="2:6" ht="12.75">
      <c r="B102">
        <v>4000</v>
      </c>
      <c r="C102">
        <v>7</v>
      </c>
      <c r="D102">
        <v>53</v>
      </c>
      <c r="F102">
        <v>45</v>
      </c>
    </row>
    <row r="103" spans="3:6" ht="12.75">
      <c r="C103">
        <v>8</v>
      </c>
      <c r="F103">
        <v>40</v>
      </c>
    </row>
    <row r="104" spans="3:4" ht="12.75"/>
    <row r="105" spans="3:6" ht="12.75">
      <c r="C105">
        <v>-1</v>
      </c>
      <c r="F105">
        <v>90</v>
      </c>
    </row>
    <row r="106" spans="3:6" ht="12.75">
      <c r="C106">
        <v>0</v>
      </c>
      <c r="F106">
        <v>85</v>
      </c>
    </row>
    <row r="107" spans="1:6" ht="12.75">
      <c r="A107" t="s">
        <v>137</v>
      </c>
      <c r="B107">
        <v>63</v>
      </c>
      <c r="C107">
        <v>1</v>
      </c>
      <c r="D107">
        <v>77</v>
      </c>
      <c r="F107">
        <v>80</v>
      </c>
    </row>
    <row r="108" spans="2:6" ht="12.75">
      <c r="B108">
        <v>125</v>
      </c>
      <c r="C108">
        <v>2</v>
      </c>
      <c r="D108">
        <v>71</v>
      </c>
      <c r="F108">
        <v>75</v>
      </c>
    </row>
    <row r="109" spans="2:6" ht="12.75">
      <c r="B109">
        <v>250</v>
      </c>
      <c r="C109">
        <v>3</v>
      </c>
      <c r="D109">
        <v>67</v>
      </c>
      <c r="F109">
        <v>70</v>
      </c>
    </row>
    <row r="110" spans="2:6" ht="12.75">
      <c r="B110">
        <v>500</v>
      </c>
      <c r="C110">
        <v>4</v>
      </c>
      <c r="D110">
        <v>63</v>
      </c>
      <c r="F110">
        <v>65</v>
      </c>
    </row>
    <row r="111" spans="2:6" ht="12.75">
      <c r="B111">
        <v>1000</v>
      </c>
      <c r="C111">
        <v>5</v>
      </c>
      <c r="D111">
        <v>61</v>
      </c>
      <c r="F111">
        <v>60</v>
      </c>
    </row>
    <row r="112" spans="2:6" ht="12.75">
      <c r="B112">
        <v>2000</v>
      </c>
      <c r="C112">
        <v>6</v>
      </c>
      <c r="D112">
        <v>59</v>
      </c>
      <c r="F112">
        <v>55</v>
      </c>
    </row>
    <row r="113" spans="2:6" ht="12.75">
      <c r="B113">
        <v>4000</v>
      </c>
      <c r="C113">
        <v>7</v>
      </c>
      <c r="D113">
        <v>58</v>
      </c>
      <c r="F113">
        <v>50</v>
      </c>
    </row>
    <row r="114" spans="3:6" ht="12.75">
      <c r="C114">
        <v>8</v>
      </c>
      <c r="F114">
        <v>45</v>
      </c>
    </row>
    <row r="115" spans="3:4" ht="12.75"/>
    <row r="116" spans="3:6" ht="12.75">
      <c r="C116">
        <v>-1</v>
      </c>
      <c r="F116">
        <v>95</v>
      </c>
    </row>
    <row r="117" spans="3:6" ht="12.75">
      <c r="C117">
        <v>0</v>
      </c>
      <c r="F117">
        <v>90</v>
      </c>
    </row>
    <row r="118" spans="1:6" ht="12.75">
      <c r="A118" t="s">
        <v>138</v>
      </c>
      <c r="B118">
        <v>63</v>
      </c>
      <c r="C118">
        <v>1</v>
      </c>
      <c r="D118">
        <v>80</v>
      </c>
      <c r="F118">
        <v>85</v>
      </c>
    </row>
    <row r="119" spans="2:6" ht="12.75">
      <c r="B119">
        <v>125</v>
      </c>
      <c r="C119">
        <v>2</v>
      </c>
      <c r="D119">
        <v>75</v>
      </c>
      <c r="F119">
        <v>80</v>
      </c>
    </row>
    <row r="120" spans="2:6" ht="12.75">
      <c r="B120">
        <v>250</v>
      </c>
      <c r="C120">
        <v>3</v>
      </c>
      <c r="D120">
        <v>71</v>
      </c>
      <c r="F120">
        <v>75</v>
      </c>
    </row>
    <row r="121" spans="2:6" ht="12.75">
      <c r="B121">
        <v>500</v>
      </c>
      <c r="C121">
        <v>4</v>
      </c>
      <c r="D121">
        <v>68</v>
      </c>
      <c r="F121">
        <v>70</v>
      </c>
    </row>
    <row r="122" spans="2:6" ht="12.75">
      <c r="B122">
        <v>1000</v>
      </c>
      <c r="C122">
        <v>5</v>
      </c>
      <c r="D122">
        <v>66</v>
      </c>
      <c r="F122">
        <v>65</v>
      </c>
    </row>
    <row r="123" spans="2:6" ht="12.75">
      <c r="B123">
        <v>2000</v>
      </c>
      <c r="C123">
        <v>6</v>
      </c>
      <c r="D123">
        <v>64</v>
      </c>
      <c r="F123">
        <v>60</v>
      </c>
    </row>
    <row r="124" spans="2:6" ht="12.75">
      <c r="B124">
        <v>4000</v>
      </c>
      <c r="C124">
        <v>7</v>
      </c>
      <c r="D124">
        <v>63</v>
      </c>
      <c r="F124">
        <v>55</v>
      </c>
    </row>
    <row r="125" spans="3:6" ht="12.75">
      <c r="C125">
        <v>8</v>
      </c>
      <c r="F125">
        <v>50</v>
      </c>
    </row>
    <row r="126" spans="3:4" ht="12.75"/>
    <row r="127" spans="3:6" ht="12.75">
      <c r="C127">
        <v>-1</v>
      </c>
      <c r="D127">
        <v>78</v>
      </c>
      <c r="F127">
        <v>78</v>
      </c>
    </row>
    <row r="128" spans="3:6" ht="12.75">
      <c r="C128">
        <v>0</v>
      </c>
      <c r="D128">
        <v>58</v>
      </c>
      <c r="F128">
        <v>58</v>
      </c>
    </row>
    <row r="129" spans="1:6" ht="12.75">
      <c r="A129" t="s">
        <v>139</v>
      </c>
      <c r="C129">
        <v>1</v>
      </c>
      <c r="D129">
        <v>36</v>
      </c>
      <c r="F129">
        <v>36</v>
      </c>
    </row>
    <row r="130" spans="3:6" ht="12.75">
      <c r="C130">
        <v>2</v>
      </c>
      <c r="D130">
        <v>22</v>
      </c>
      <c r="F130">
        <v>22</v>
      </c>
    </row>
    <row r="131" spans="3:6" ht="12.75">
      <c r="C131">
        <v>3</v>
      </c>
      <c r="D131">
        <v>13</v>
      </c>
      <c r="F131">
        <v>13</v>
      </c>
    </row>
    <row r="132" spans="3:6" ht="12.75">
      <c r="C132">
        <v>4</v>
      </c>
      <c r="D132">
        <v>8</v>
      </c>
      <c r="F132">
        <v>1</v>
      </c>
    </row>
    <row r="133" ht="12.75">
      <c r="C133">
        <v>5</v>
      </c>
    </row>
    <row r="134" ht="12.75">
      <c r="C134">
        <v>6</v>
      </c>
    </row>
    <row r="135" ht="12.75">
      <c r="C135">
        <v>7</v>
      </c>
    </row>
    <row r="136" ht="12.75">
      <c r="C136">
        <v>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Carrier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 Int-Hout</dc:creator>
  <cp:keywords/>
  <dc:description/>
  <cp:lastModifiedBy>dint-hout</cp:lastModifiedBy>
  <cp:lastPrinted>2003-11-05T20:05:25Z</cp:lastPrinted>
  <dcterms:created xsi:type="dcterms:W3CDTF">1999-08-01T14:07:13Z</dcterms:created>
  <dcterms:modified xsi:type="dcterms:W3CDTF">2009-05-05T17:03:23Z</dcterms:modified>
  <cp:category/>
  <cp:version/>
  <cp:contentType/>
  <cp:contentStatus/>
</cp:coreProperties>
</file>